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fileSharing readOnlyRecommended="1"/>
  <workbookPr defaultThemeVersion="124226"/>
  <mc:AlternateContent xmlns:mc="http://schemas.openxmlformats.org/markup-compatibility/2006">
    <mc:Choice Requires="x15">
      <x15ac:absPath xmlns:x15ac="http://schemas.microsoft.com/office/spreadsheetml/2010/11/ac" url="https://nhsproviders1-my.sharepoint.com/personal/shannon_robinson_nhsproviders_org/Documents/Webpages/TWI/"/>
    </mc:Choice>
  </mc:AlternateContent>
  <xr:revisionPtr revIDLastSave="2" documentId="8_{CDB5C969-395C-49D9-8E6F-D8129CFEE21C}" xr6:coauthVersionLast="47" xr6:coauthVersionMax="47" xr10:uidLastSave="{E2C000E2-52BE-4BB6-9C7D-F90B78BE7C74}"/>
  <workbookProtection lockStructure="1"/>
  <bookViews>
    <workbookView xWindow="-110" yWindow="-110" windowWidth="22780" windowHeight="14660" activeTab="3" xr2:uid="{00000000-000D-0000-FFFF-FFFF00000000}"/>
  </bookViews>
  <sheets>
    <sheet name="DQMI Data" sheetId="1" r:id="rId1"/>
    <sheet name="Sheet2" sheetId="2" state="hidden" r:id="rId2"/>
    <sheet name="SPC" sheetId="3" r:id="rId3"/>
    <sheet name="Graphs" sheetId="4" r:id="rId4"/>
  </sheets>
  <definedNames>
    <definedName name="Date" localSheetId="2">OFFSET(SPC!$B$6,0,0,COUNTA(SPC!$B:$B)-2)</definedName>
    <definedName name="LCL" localSheetId="2">OFFSET(SPC!$H$6,0,0,COUNTA(SPC!$H:$H)-1)</definedName>
    <definedName name="Mean" localSheetId="2">OFFSET(SPC!$F$6,0,0,COUNTA(SPC!$F:$F)-1)</definedName>
    <definedName name="UCL" localSheetId="2">OFFSET(SPC!$G$6,0,0,COUNTA(SPC!$G:$G)-1)</definedName>
    <definedName name="Value" localSheetId="2">OFFSET(SPC!$C$6,0,0,COUNTA(SPC!$C:$C)-2)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9" i="4" l="1"/>
  <c r="N98" i="4"/>
  <c r="M99" i="4"/>
  <c r="M98" i="4"/>
  <c r="K99" i="4"/>
  <c r="K98" i="4"/>
  <c r="D99" i="4"/>
  <c r="D98" i="4"/>
  <c r="C39" i="3"/>
  <c r="D39" i="3"/>
  <c r="K39" i="3"/>
  <c r="M39" i="3"/>
  <c r="N39" i="3"/>
  <c r="O39" i="3"/>
  <c r="P39" i="3"/>
  <c r="C40" i="3"/>
  <c r="K40" i="3" s="1"/>
  <c r="M40" i="3"/>
  <c r="N40" i="3"/>
  <c r="O40" i="3"/>
  <c r="P40" i="3"/>
  <c r="AZ38" i="1"/>
  <c r="AV38" i="1"/>
  <c r="AR38" i="1"/>
  <c r="AN38" i="1"/>
  <c r="AJ38" i="1"/>
  <c r="AF38" i="1"/>
  <c r="AB38" i="1"/>
  <c r="X38" i="1"/>
  <c r="T38" i="1"/>
  <c r="P38" i="1"/>
  <c r="L38" i="1"/>
  <c r="G38" i="1"/>
  <c r="C38" i="1"/>
  <c r="AZ37" i="1"/>
  <c r="AV37" i="1"/>
  <c r="AR37" i="1"/>
  <c r="AN37" i="1"/>
  <c r="AJ37" i="1"/>
  <c r="AF37" i="1"/>
  <c r="AB37" i="1"/>
  <c r="X37" i="1"/>
  <c r="T37" i="1"/>
  <c r="P37" i="1"/>
  <c r="L37" i="1"/>
  <c r="G37" i="1"/>
  <c r="C37" i="1"/>
  <c r="C99" i="4"/>
  <c r="E99" i="4"/>
  <c r="F99" i="4"/>
  <c r="G99" i="4"/>
  <c r="H99" i="4"/>
  <c r="I99" i="4"/>
  <c r="J99" i="4"/>
  <c r="L99" i="4"/>
  <c r="O99" i="4"/>
  <c r="C38" i="3"/>
  <c r="M38" i="3"/>
  <c r="N38" i="3"/>
  <c r="O38" i="3"/>
  <c r="P38" i="3"/>
  <c r="AZ36" i="1"/>
  <c r="AV36" i="1"/>
  <c r="AR36" i="1"/>
  <c r="AN36" i="1"/>
  <c r="AJ36" i="1"/>
  <c r="AF36" i="1"/>
  <c r="AB36" i="1"/>
  <c r="X36" i="1"/>
  <c r="T36" i="1"/>
  <c r="P36" i="1"/>
  <c r="L36" i="1"/>
  <c r="G36" i="1"/>
  <c r="C36" i="1"/>
  <c r="D40" i="3" l="1"/>
  <c r="C37" i="3"/>
  <c r="K38" i="3" s="1"/>
  <c r="N37" i="3"/>
  <c r="AZ35" i="1"/>
  <c r="AV35" i="1"/>
  <c r="AR35" i="1"/>
  <c r="AN35" i="1"/>
  <c r="AJ35" i="1"/>
  <c r="AF35" i="1"/>
  <c r="AB35" i="1"/>
  <c r="X35" i="1"/>
  <c r="T35" i="1"/>
  <c r="P35" i="1"/>
  <c r="L35" i="1"/>
  <c r="G35" i="1"/>
  <c r="C35" i="1"/>
  <c r="D38" i="3" l="1"/>
  <c r="C36" i="3"/>
  <c r="M36" i="3"/>
  <c r="N36" i="3"/>
  <c r="O36" i="3"/>
  <c r="P36" i="3"/>
  <c r="AZ34" i="1"/>
  <c r="AV34" i="1"/>
  <c r="AR34" i="1"/>
  <c r="AN34" i="1"/>
  <c r="AJ34" i="1"/>
  <c r="AF34" i="1"/>
  <c r="AB34" i="1"/>
  <c r="X34" i="1"/>
  <c r="T34" i="1"/>
  <c r="P34" i="1"/>
  <c r="L34" i="1"/>
  <c r="G34" i="1"/>
  <c r="C34" i="1"/>
  <c r="K37" i="3" l="1"/>
  <c r="D37" i="3"/>
  <c r="M37" i="3" s="1"/>
  <c r="M35" i="3"/>
  <c r="N35" i="3"/>
  <c r="O35" i="3"/>
  <c r="P35" i="3"/>
  <c r="C35" i="3"/>
  <c r="AZ33" i="1"/>
  <c r="AV33" i="1"/>
  <c r="AR33" i="1"/>
  <c r="AN33" i="1"/>
  <c r="AJ33" i="1"/>
  <c r="AF33" i="1"/>
  <c r="AB33" i="1"/>
  <c r="X33" i="1"/>
  <c r="T33" i="1"/>
  <c r="P33" i="1"/>
  <c r="L33" i="1"/>
  <c r="G33" i="1"/>
  <c r="C32" i="1"/>
  <c r="C33" i="1"/>
  <c r="D36" i="3" l="1"/>
  <c r="K36" i="3"/>
  <c r="O37" i="3"/>
  <c r="P37" i="3"/>
  <c r="E98" i="4"/>
  <c r="C98" i="4" s="1"/>
  <c r="F98" i="4"/>
  <c r="G98" i="4"/>
  <c r="H98" i="4"/>
  <c r="I98" i="4"/>
  <c r="J98" i="4"/>
  <c r="L98" i="4"/>
  <c r="O98" i="4"/>
  <c r="C34" i="3" l="1"/>
  <c r="M34" i="3"/>
  <c r="N34" i="3"/>
  <c r="O34" i="3"/>
  <c r="P34" i="3"/>
  <c r="AZ32" i="1"/>
  <c r="AV32" i="1"/>
  <c r="AR32" i="1"/>
  <c r="AN32" i="1"/>
  <c r="AJ32" i="1"/>
  <c r="AF32" i="1"/>
  <c r="AB32" i="1"/>
  <c r="X32" i="1"/>
  <c r="T32" i="1"/>
  <c r="P32" i="1"/>
  <c r="L32" i="1"/>
  <c r="G32" i="1"/>
  <c r="K35" i="3" l="1"/>
  <c r="D35" i="3"/>
  <c r="C33" i="3"/>
  <c r="K34" i="3" s="1"/>
  <c r="M33" i="3"/>
  <c r="N33" i="3"/>
  <c r="O33" i="3"/>
  <c r="P33" i="3"/>
  <c r="AZ31" i="1"/>
  <c r="AV31" i="1"/>
  <c r="AR31" i="1"/>
  <c r="AN31" i="1"/>
  <c r="AJ31" i="1"/>
  <c r="AF31" i="1"/>
  <c r="AB31" i="1"/>
  <c r="X31" i="1"/>
  <c r="T31" i="1"/>
  <c r="P31" i="1"/>
  <c r="L31" i="1"/>
  <c r="G31" i="1"/>
  <c r="C31" i="1"/>
  <c r="D34" i="3" l="1"/>
  <c r="C32" i="3"/>
  <c r="K33" i="3" s="1"/>
  <c r="M32" i="3"/>
  <c r="N32" i="3"/>
  <c r="O32" i="3"/>
  <c r="P32" i="3"/>
  <c r="AZ30" i="1"/>
  <c r="AV30" i="1"/>
  <c r="AR30" i="1"/>
  <c r="AN30" i="1"/>
  <c r="AJ30" i="1"/>
  <c r="AF30" i="1"/>
  <c r="AB30" i="1"/>
  <c r="X30" i="1"/>
  <c r="T30" i="1"/>
  <c r="P30" i="1"/>
  <c r="L30" i="1"/>
  <c r="G30" i="1"/>
  <c r="C30" i="1"/>
  <c r="D33" i="3" l="1"/>
  <c r="M18" i="3" l="1"/>
  <c r="N18" i="3"/>
  <c r="O18" i="3"/>
  <c r="P18" i="3"/>
  <c r="M19" i="3"/>
  <c r="N19" i="3"/>
  <c r="O19" i="3"/>
  <c r="P19" i="3"/>
  <c r="M20" i="3"/>
  <c r="N20" i="3"/>
  <c r="O20" i="3"/>
  <c r="P20" i="3"/>
  <c r="M21" i="3"/>
  <c r="N21" i="3"/>
  <c r="O21" i="3"/>
  <c r="P21" i="3"/>
  <c r="M22" i="3"/>
  <c r="N22" i="3"/>
  <c r="O22" i="3"/>
  <c r="P22" i="3"/>
  <c r="M23" i="3"/>
  <c r="N23" i="3"/>
  <c r="O23" i="3"/>
  <c r="P23" i="3"/>
  <c r="M24" i="3"/>
  <c r="N24" i="3"/>
  <c r="O24" i="3"/>
  <c r="P24" i="3"/>
  <c r="M26" i="3"/>
  <c r="N26" i="3"/>
  <c r="O26" i="3"/>
  <c r="P26" i="3"/>
  <c r="M27" i="3"/>
  <c r="N27" i="3"/>
  <c r="O27" i="3"/>
  <c r="P27" i="3"/>
  <c r="M28" i="3"/>
  <c r="N28" i="3"/>
  <c r="O28" i="3"/>
  <c r="P28" i="3"/>
  <c r="M29" i="3"/>
  <c r="N29" i="3"/>
  <c r="N30" i="3"/>
  <c r="N31" i="3"/>
  <c r="M30" i="3"/>
  <c r="M31" i="3"/>
  <c r="C6" i="3"/>
  <c r="C29" i="3"/>
  <c r="C30" i="3"/>
  <c r="K30" i="3" s="1"/>
  <c r="C31" i="3"/>
  <c r="P29" i="3" l="1"/>
  <c r="O29" i="3"/>
  <c r="K31" i="3"/>
  <c r="D32" i="3"/>
  <c r="K32" i="3"/>
  <c r="AZ29" i="1"/>
  <c r="AV29" i="1"/>
  <c r="AR29" i="1"/>
  <c r="AN29" i="1"/>
  <c r="AJ29" i="1"/>
  <c r="AF29" i="1"/>
  <c r="AB29" i="1"/>
  <c r="X29" i="1"/>
  <c r="T29" i="1"/>
  <c r="P29" i="1"/>
  <c r="L29" i="1"/>
  <c r="G29" i="1"/>
  <c r="C29" i="1"/>
  <c r="D31" i="3" l="1"/>
  <c r="O31" i="3"/>
  <c r="P31" i="3"/>
  <c r="AZ28" i="1"/>
  <c r="AV28" i="1"/>
  <c r="AR28" i="1"/>
  <c r="AJ28" i="1"/>
  <c r="AF28" i="1"/>
  <c r="AB28" i="1"/>
  <c r="X28" i="1"/>
  <c r="T28" i="1"/>
  <c r="P28" i="1"/>
  <c r="L28" i="1"/>
  <c r="G28" i="1"/>
  <c r="C28" i="1"/>
  <c r="O30" i="3" l="1"/>
  <c r="P30" i="3"/>
  <c r="AZ27" i="1"/>
  <c r="AV27" i="1"/>
  <c r="AR27" i="1"/>
  <c r="AJ27" i="1"/>
  <c r="AF27" i="1"/>
  <c r="AB27" i="1"/>
  <c r="X27" i="1"/>
  <c r="T27" i="1"/>
  <c r="P27" i="1"/>
  <c r="L27" i="1"/>
  <c r="G27" i="1"/>
  <c r="C27" i="1"/>
  <c r="D30" i="3" l="1"/>
  <c r="B26" i="1" l="1"/>
  <c r="C28" i="3" s="1"/>
  <c r="B25" i="1"/>
  <c r="C27" i="3" s="1"/>
  <c r="B24" i="1"/>
  <c r="C26" i="3" s="1"/>
  <c r="B23" i="1"/>
  <c r="C25" i="3" s="1"/>
  <c r="B22" i="1"/>
  <c r="C24" i="3" s="1"/>
  <c r="B21" i="1"/>
  <c r="C23" i="3" s="1"/>
  <c r="B20" i="1"/>
  <c r="C22" i="3" s="1"/>
  <c r="B19" i="1"/>
  <c r="C21" i="3" s="1"/>
  <c r="B18" i="1"/>
  <c r="C20" i="3" s="1"/>
  <c r="B17" i="1"/>
  <c r="C19" i="3" s="1"/>
  <c r="B16" i="1"/>
  <c r="C18" i="3" s="1"/>
  <c r="B15" i="1"/>
  <c r="C17" i="3" s="1"/>
  <c r="B14" i="1"/>
  <c r="C16" i="3" s="1"/>
  <c r="D16" i="3" s="1"/>
  <c r="B13" i="1"/>
  <c r="C15" i="3" s="1"/>
  <c r="D15" i="3" s="1"/>
  <c r="B12" i="1"/>
  <c r="C14" i="3" s="1"/>
  <c r="D14" i="3" s="1"/>
  <c r="B11" i="1"/>
  <c r="C13" i="3" s="1"/>
  <c r="B10" i="1"/>
  <c r="C12" i="3" s="1"/>
  <c r="B9" i="1"/>
  <c r="C11" i="3" s="1"/>
  <c r="B8" i="1"/>
  <c r="C10" i="3" s="1"/>
  <c r="B7" i="1"/>
  <c r="C9" i="3" s="1"/>
  <c r="B6" i="1"/>
  <c r="C8" i="3" s="1"/>
  <c r="D8" i="3" s="1"/>
  <c r="B5" i="1"/>
  <c r="C7" i="3" s="1"/>
  <c r="X4" i="1"/>
  <c r="X5" i="1"/>
  <c r="X6" i="1"/>
  <c r="X7" i="1"/>
  <c r="X8" i="1"/>
  <c r="X9" i="1"/>
  <c r="X10" i="1"/>
  <c r="X11" i="1"/>
  <c r="X12" i="1"/>
  <c r="X13" i="1"/>
  <c r="X14" i="1"/>
  <c r="X15" i="1"/>
  <c r="X16" i="1"/>
  <c r="X17" i="1"/>
  <c r="X18" i="1"/>
  <c r="X19" i="1"/>
  <c r="X20" i="1"/>
  <c r="X21" i="1"/>
  <c r="X22" i="1"/>
  <c r="X23" i="1"/>
  <c r="X25" i="1"/>
  <c r="X26" i="1"/>
  <c r="X24" i="1"/>
  <c r="C4" i="1"/>
  <c r="C5" i="1"/>
  <c r="C6" i="1"/>
  <c r="C7" i="1"/>
  <c r="C8" i="1"/>
  <c r="C9" i="1"/>
  <c r="C10" i="1"/>
  <c r="C11" i="1"/>
  <c r="C12" i="1"/>
  <c r="C13" i="1"/>
  <c r="C14" i="1"/>
  <c r="C15" i="1"/>
  <c r="C16" i="1"/>
  <c r="C17" i="1"/>
  <c r="C18" i="1"/>
  <c r="C19" i="1"/>
  <c r="C20" i="1"/>
  <c r="C21" i="1"/>
  <c r="C22" i="1"/>
  <c r="C24" i="1"/>
  <c r="C25" i="1"/>
  <c r="C26" i="1"/>
  <c r="C23" i="1"/>
  <c r="G4" i="1"/>
  <c r="G5" i="1"/>
  <c r="G6" i="1"/>
  <c r="G7" i="1"/>
  <c r="G8" i="1"/>
  <c r="G9" i="1"/>
  <c r="G10" i="1"/>
  <c r="G11" i="1"/>
  <c r="G12" i="1"/>
  <c r="G13" i="1"/>
  <c r="G14" i="1"/>
  <c r="G16" i="1"/>
  <c r="G17" i="1"/>
  <c r="G18" i="1"/>
  <c r="G19" i="1"/>
  <c r="G20" i="1"/>
  <c r="G21" i="1"/>
  <c r="G22" i="1"/>
  <c r="G23" i="1"/>
  <c r="G24" i="1"/>
  <c r="G25" i="1"/>
  <c r="G26" i="1"/>
  <c r="G15" i="1"/>
  <c r="T21" i="1"/>
  <c r="T22" i="1"/>
  <c r="T23" i="1"/>
  <c r="T24" i="1"/>
  <c r="T25" i="1"/>
  <c r="T26" i="1"/>
  <c r="T4" i="1"/>
  <c r="T5" i="1"/>
  <c r="T6" i="1"/>
  <c r="T7" i="1"/>
  <c r="T8" i="1"/>
  <c r="T9" i="1"/>
  <c r="T10" i="1"/>
  <c r="T11" i="1"/>
  <c r="T12" i="1"/>
  <c r="T13" i="1"/>
  <c r="T14" i="1"/>
  <c r="T15" i="1"/>
  <c r="T16" i="1"/>
  <c r="T17" i="1"/>
  <c r="T18" i="1"/>
  <c r="T19" i="1"/>
  <c r="T20" i="1"/>
  <c r="AZ26" i="1"/>
  <c r="AV26" i="1"/>
  <c r="AR26" i="1"/>
  <c r="AJ26" i="1"/>
  <c r="AF26" i="1"/>
  <c r="AB26" i="1"/>
  <c r="P26" i="1"/>
  <c r="L26" i="1"/>
  <c r="K25" i="3" l="1"/>
  <c r="N25" i="3"/>
  <c r="D25" i="3"/>
  <c r="D10" i="3"/>
  <c r="K18" i="3"/>
  <c r="D18" i="3"/>
  <c r="K26" i="3"/>
  <c r="D26" i="3"/>
  <c r="D17" i="3"/>
  <c r="D12" i="3"/>
  <c r="D11" i="3"/>
  <c r="K19" i="3"/>
  <c r="D19" i="3"/>
  <c r="K27" i="3"/>
  <c r="D27" i="3"/>
  <c r="D9" i="3"/>
  <c r="K20" i="3"/>
  <c r="D20" i="3"/>
  <c r="K28" i="3"/>
  <c r="K29" i="3"/>
  <c r="D29" i="3"/>
  <c r="D28" i="3"/>
  <c r="K24" i="3"/>
  <c r="D24" i="3"/>
  <c r="D13" i="3"/>
  <c r="K21" i="3"/>
  <c r="D21" i="3"/>
  <c r="K22" i="3"/>
  <c r="D22" i="3"/>
  <c r="F17" i="3"/>
  <c r="F12" i="3"/>
  <c r="F9" i="3"/>
  <c r="F15" i="3"/>
  <c r="F16" i="3"/>
  <c r="F7" i="3"/>
  <c r="F10" i="3"/>
  <c r="F14" i="3"/>
  <c r="F11" i="3"/>
  <c r="D7" i="3"/>
  <c r="F13" i="3"/>
  <c r="F8" i="3"/>
  <c r="F6" i="3"/>
  <c r="K23" i="3"/>
  <c r="D23" i="3"/>
  <c r="AB4" i="1"/>
  <c r="P4" i="1"/>
  <c r="L4" i="1"/>
  <c r="L7" i="1"/>
  <c r="L6" i="1"/>
  <c r="L5" i="1"/>
  <c r="AB5" i="1"/>
  <c r="P5" i="1"/>
  <c r="AB6" i="1"/>
  <c r="P6" i="1"/>
  <c r="F18" i="3" l="1"/>
  <c r="G14" i="3"/>
  <c r="E6" i="3"/>
  <c r="G6" i="3" s="1"/>
  <c r="E16" i="3"/>
  <c r="E14" i="3"/>
  <c r="H14" i="3" s="1"/>
  <c r="E15" i="3"/>
  <c r="E10" i="3"/>
  <c r="E7" i="3"/>
  <c r="H7" i="3" s="1"/>
  <c r="E17" i="3"/>
  <c r="E18" i="3" s="1"/>
  <c r="E19" i="3" s="1"/>
  <c r="E20" i="3" s="1"/>
  <c r="E21" i="3" s="1"/>
  <c r="E22" i="3" s="1"/>
  <c r="E23" i="3" s="1"/>
  <c r="E24" i="3" s="1"/>
  <c r="E25" i="3" s="1"/>
  <c r="E26" i="3" s="1"/>
  <c r="E27" i="3" s="1"/>
  <c r="E28" i="3" s="1"/>
  <c r="E29" i="3" s="1"/>
  <c r="E30" i="3" s="1"/>
  <c r="E31" i="3" s="1"/>
  <c r="E32" i="3" s="1"/>
  <c r="E33" i="3" s="1"/>
  <c r="E34" i="3" s="1"/>
  <c r="E35" i="3" s="1"/>
  <c r="E36" i="3" s="1"/>
  <c r="E37" i="3" s="1"/>
  <c r="E38" i="3" s="1"/>
  <c r="E39" i="3" s="1"/>
  <c r="E40" i="3" s="1"/>
  <c r="E11" i="3"/>
  <c r="G11" i="3" s="1"/>
  <c r="E9" i="3"/>
  <c r="H9" i="3" s="1"/>
  <c r="E12" i="3"/>
  <c r="E8" i="3"/>
  <c r="E13" i="3"/>
  <c r="G7" i="3"/>
  <c r="H10" i="3"/>
  <c r="G10" i="3"/>
  <c r="H16" i="3"/>
  <c r="G16" i="3"/>
  <c r="M25" i="3"/>
  <c r="O25" i="3" s="1"/>
  <c r="G12" i="3"/>
  <c r="H12" i="3"/>
  <c r="G15" i="3"/>
  <c r="H15" i="3"/>
  <c r="G8" i="3"/>
  <c r="H8" i="3"/>
  <c r="G13" i="3"/>
  <c r="H13" i="3"/>
  <c r="AB7" i="1"/>
  <c r="P7" i="1"/>
  <c r="AB8" i="1"/>
  <c r="P8" i="1"/>
  <c r="L8" i="1"/>
  <c r="AB9" i="1"/>
  <c r="P9" i="1"/>
  <c r="L9" i="1"/>
  <c r="AZ10" i="1"/>
  <c r="AV10" i="1"/>
  <c r="AR10" i="1"/>
  <c r="AJ10" i="1"/>
  <c r="AF10" i="1"/>
  <c r="AB10" i="1"/>
  <c r="P10" i="1"/>
  <c r="L10" i="1"/>
  <c r="AZ11" i="1"/>
  <c r="AV11" i="1"/>
  <c r="AR11" i="1"/>
  <c r="AJ11" i="1"/>
  <c r="AF11" i="1"/>
  <c r="AB11" i="1"/>
  <c r="P11" i="1"/>
  <c r="L11" i="1"/>
  <c r="AZ12" i="1"/>
  <c r="AV12" i="1"/>
  <c r="AR12" i="1"/>
  <c r="AJ12" i="1"/>
  <c r="AF12" i="1"/>
  <c r="AB12" i="1"/>
  <c r="P12" i="1"/>
  <c r="L12" i="1"/>
  <c r="AZ13" i="1"/>
  <c r="AV13" i="1"/>
  <c r="AR13" i="1"/>
  <c r="AJ13" i="1"/>
  <c r="AF13" i="1"/>
  <c r="AB13" i="1"/>
  <c r="P13" i="1"/>
  <c r="L13" i="1"/>
  <c r="H6" i="3" l="1"/>
  <c r="H17" i="3"/>
  <c r="H18" i="3" s="1"/>
  <c r="H19" i="3" s="1"/>
  <c r="H20" i="3" s="1"/>
  <c r="H21" i="3" s="1"/>
  <c r="H22" i="3" s="1"/>
  <c r="H23" i="3" s="1"/>
  <c r="H24" i="3" s="1"/>
  <c r="G17" i="3"/>
  <c r="G18" i="3" s="1"/>
  <c r="G9" i="3"/>
  <c r="J18" i="3"/>
  <c r="F19" i="3"/>
  <c r="P25" i="3"/>
  <c r="H11" i="3"/>
  <c r="AZ14" i="1"/>
  <c r="AV14" i="1"/>
  <c r="AR14" i="1"/>
  <c r="AJ14" i="1"/>
  <c r="AF14" i="1"/>
  <c r="AB14" i="1"/>
  <c r="P14" i="1"/>
  <c r="L14" i="1"/>
  <c r="AZ15" i="1"/>
  <c r="AV15" i="1"/>
  <c r="AR15" i="1"/>
  <c r="AJ15" i="1"/>
  <c r="AF15" i="1"/>
  <c r="AB15" i="1"/>
  <c r="P15" i="1"/>
  <c r="L15" i="1"/>
  <c r="AZ16" i="1"/>
  <c r="AV16" i="1"/>
  <c r="AR16" i="1"/>
  <c r="AJ16" i="1"/>
  <c r="AF16" i="1"/>
  <c r="AB16" i="1"/>
  <c r="P16" i="1"/>
  <c r="L16" i="1"/>
  <c r="AZ17" i="1"/>
  <c r="AV17" i="1"/>
  <c r="AR17" i="1"/>
  <c r="AJ17" i="1"/>
  <c r="AF17" i="1"/>
  <c r="AB17" i="1"/>
  <c r="P17" i="1"/>
  <c r="L17" i="1"/>
  <c r="AZ18" i="1"/>
  <c r="AV18" i="1"/>
  <c r="AR18" i="1"/>
  <c r="AJ18" i="1"/>
  <c r="AF18" i="1"/>
  <c r="AB18" i="1"/>
  <c r="P18" i="1"/>
  <c r="L18" i="1"/>
  <c r="AZ19" i="1"/>
  <c r="AV19" i="1"/>
  <c r="AR19" i="1"/>
  <c r="AJ19" i="1"/>
  <c r="AF19" i="1"/>
  <c r="AB19" i="1"/>
  <c r="P19" i="1"/>
  <c r="L19" i="1"/>
  <c r="AZ20" i="1"/>
  <c r="AV20" i="1"/>
  <c r="AR20" i="1"/>
  <c r="AJ20" i="1"/>
  <c r="AF20" i="1"/>
  <c r="AB20" i="1"/>
  <c r="P20" i="1"/>
  <c r="L20" i="1"/>
  <c r="L23" i="1"/>
  <c r="L22" i="1"/>
  <c r="L21" i="1"/>
  <c r="AZ21" i="1"/>
  <c r="AV21" i="1"/>
  <c r="AR21" i="1"/>
  <c r="AJ21" i="1"/>
  <c r="AF21" i="1"/>
  <c r="AB21" i="1"/>
  <c r="P21" i="1"/>
  <c r="J19" i="3" l="1"/>
  <c r="F20" i="3"/>
  <c r="G19" i="3"/>
  <c r="I18" i="3"/>
  <c r="AZ23" i="1"/>
  <c r="AZ22" i="1"/>
  <c r="AV23" i="1"/>
  <c r="AV22" i="1"/>
  <c r="AR23" i="1"/>
  <c r="AR22" i="1"/>
  <c r="AJ23" i="1"/>
  <c r="AJ22" i="1"/>
  <c r="AF23" i="1"/>
  <c r="AF22" i="1"/>
  <c r="AB23" i="1"/>
  <c r="AB22" i="1"/>
  <c r="P23" i="1"/>
  <c r="P22" i="1"/>
  <c r="AZ24" i="1"/>
  <c r="AZ25" i="1"/>
  <c r="AV24" i="1"/>
  <c r="AV25" i="1"/>
  <c r="AR24" i="1"/>
  <c r="AR25" i="1"/>
  <c r="AJ25" i="1"/>
  <c r="AF25" i="1"/>
  <c r="AB24" i="1"/>
  <c r="AB25" i="1"/>
  <c r="L24" i="1"/>
  <c r="L25" i="1"/>
  <c r="P24" i="1"/>
  <c r="P25" i="1"/>
  <c r="AJ24" i="1"/>
  <c r="AF24" i="1"/>
  <c r="J20" i="3" l="1"/>
  <c r="F21" i="3"/>
  <c r="I19" i="3"/>
  <c r="G20" i="3"/>
  <c r="H25" i="3"/>
  <c r="H26" i="3" s="1"/>
  <c r="H27" i="3" s="1"/>
  <c r="H28" i="3" s="1"/>
  <c r="H29" i="3" s="1"/>
  <c r="H30" i="3" s="1"/>
  <c r="H31" i="3" s="1"/>
  <c r="H32" i="3" s="1"/>
  <c r="H33" i="3" s="1"/>
  <c r="H34" i="3" s="1"/>
  <c r="H35" i="3" s="1"/>
  <c r="H36" i="3" s="1"/>
  <c r="H37" i="3" s="1"/>
  <c r="H38" i="3" s="1"/>
  <c r="H39" i="3" s="1"/>
  <c r="H40" i="3" s="1"/>
  <c r="F29" i="3" l="1"/>
  <c r="I20" i="3"/>
  <c r="G21" i="3"/>
  <c r="J21" i="3"/>
  <c r="F22" i="3"/>
  <c r="I21" i="3" l="1"/>
  <c r="G22" i="3"/>
  <c r="J22" i="3"/>
  <c r="F23" i="3"/>
  <c r="J29" i="3"/>
  <c r="F30" i="3"/>
  <c r="F31" i="3" l="1"/>
  <c r="J30" i="3"/>
  <c r="J23" i="3"/>
  <c r="F24" i="3"/>
  <c r="I22" i="3"/>
  <c r="G23" i="3"/>
  <c r="J24" i="3" l="1"/>
  <c r="F25" i="3"/>
  <c r="I23" i="3"/>
  <c r="G24" i="3"/>
  <c r="J31" i="3"/>
  <c r="F32" i="3"/>
  <c r="I24" i="3" l="1"/>
  <c r="G25" i="3"/>
  <c r="J25" i="3"/>
  <c r="F26" i="3"/>
  <c r="J32" i="3"/>
  <c r="F33" i="3"/>
  <c r="G29" i="3"/>
  <c r="I29" i="3" s="1"/>
  <c r="J26" i="3" l="1"/>
  <c r="F27" i="3"/>
  <c r="I25" i="3"/>
  <c r="G26" i="3"/>
  <c r="J33" i="3"/>
  <c r="F34" i="3"/>
  <c r="G30" i="3"/>
  <c r="I30" i="3" s="1"/>
  <c r="I26" i="3" l="1"/>
  <c r="G27" i="3"/>
  <c r="F28" i="3"/>
  <c r="J28" i="3" s="1"/>
  <c r="J27" i="3"/>
  <c r="J34" i="3"/>
  <c r="F35" i="3"/>
  <c r="G31" i="3"/>
  <c r="I27" i="3" l="1"/>
  <c r="G28" i="3"/>
  <c r="I28" i="3" s="1"/>
  <c r="J35" i="3"/>
  <c r="F36" i="3"/>
  <c r="G32" i="3"/>
  <c r="I31" i="3"/>
  <c r="J36" i="3" l="1"/>
  <c r="F37" i="3"/>
  <c r="I32" i="3"/>
  <c r="G33" i="3"/>
  <c r="J37" i="3" l="1"/>
  <c r="F38" i="3"/>
  <c r="I33" i="3"/>
  <c r="G34" i="3"/>
  <c r="J38" i="3" l="1"/>
  <c r="F39" i="3"/>
  <c r="I34" i="3"/>
  <c r="G35" i="3"/>
  <c r="F40" i="3" l="1"/>
  <c r="J40" i="3" s="1"/>
  <c r="J39" i="3"/>
  <c r="I35" i="3"/>
  <c r="G36" i="3"/>
  <c r="I36" i="3" l="1"/>
  <c r="G37" i="3"/>
  <c r="I37" i="3" l="1"/>
  <c r="G38" i="3"/>
  <c r="I38" i="3" l="1"/>
  <c r="G39" i="3"/>
  <c r="G40" i="3" l="1"/>
  <c r="I40" i="3" s="1"/>
  <c r="I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Sharp</author>
  </authors>
  <commentList>
    <comment ref="B2" authorId="0" shapeId="0" xr:uid="{00000000-0006-0000-0000-000001000000}">
      <text>
        <r>
          <rPr>
            <b/>
            <sz val="9"/>
            <color indexed="81"/>
            <rFont val="Tahoma"/>
            <family val="2"/>
          </rPr>
          <t>Amy Sharp:</t>
        </r>
        <r>
          <rPr>
            <sz val="9"/>
            <color indexed="81"/>
            <rFont val="Tahoma"/>
            <family val="2"/>
          </rPr>
          <t xml:space="preserve">
</t>
        </r>
        <r>
          <rPr>
            <b/>
            <sz val="9"/>
            <color indexed="81"/>
            <rFont val="Tahoma"/>
            <family val="2"/>
          </rPr>
          <t>Proportion Valid &amp; Complete</t>
        </r>
        <r>
          <rPr>
            <sz val="9"/>
            <color indexed="81"/>
            <rFont val="Tahoma"/>
            <family val="2"/>
          </rPr>
          <t xml:space="preserve">
Calculated by: ((Coverage)*(Mean Proportion Valid &amp; Complete for each Each Data Item)*100)</t>
        </r>
      </text>
    </comment>
    <comment ref="A3" authorId="0" shapeId="0" xr:uid="{00000000-0006-0000-0000-000002000000}">
      <text>
        <r>
          <rPr>
            <b/>
            <sz val="9"/>
            <color indexed="81"/>
            <rFont val="Tahoma"/>
            <family val="2"/>
          </rPr>
          <t xml:space="preserve">Amy Sharp:
</t>
        </r>
        <r>
          <rPr>
            <sz val="9"/>
            <color indexed="81"/>
            <rFont val="Tahoma"/>
            <family val="2"/>
          </rPr>
          <t>From this month and other historical months, the data is only available for quarters and is not broken down into months.</t>
        </r>
      </text>
    </comment>
    <comment ref="A10" authorId="0" shapeId="0" xr:uid="{00000000-0006-0000-0000-000003000000}">
      <text>
        <r>
          <rPr>
            <b/>
            <sz val="9"/>
            <color indexed="81"/>
            <rFont val="Tahoma"/>
            <family val="2"/>
          </rPr>
          <t>Amy Sharp:</t>
        </r>
        <r>
          <rPr>
            <sz val="9"/>
            <color indexed="81"/>
            <rFont val="Tahoma"/>
            <family val="2"/>
          </rPr>
          <t xml:space="preserve">
Change in the criteria used to calculate the CSDS score (%). </t>
        </r>
      </text>
    </comment>
    <comment ref="F25" authorId="0" shapeId="0" xr:uid="{00000000-0006-0000-0000-000004000000}">
      <text>
        <r>
          <rPr>
            <b/>
            <sz val="9"/>
            <color indexed="81"/>
            <rFont val="Tahoma"/>
            <family val="2"/>
          </rPr>
          <t>Amy Sharp:</t>
        </r>
        <r>
          <rPr>
            <sz val="9"/>
            <color indexed="81"/>
            <rFont val="Tahoma"/>
            <family val="2"/>
          </rPr>
          <t xml:space="preserve">
</t>
        </r>
        <r>
          <rPr>
            <b/>
            <sz val="9"/>
            <color indexed="81"/>
            <rFont val="Tahoma"/>
            <family val="2"/>
          </rPr>
          <t>*</t>
        </r>
        <r>
          <rPr>
            <sz val="9"/>
            <color indexed="81"/>
            <rFont val="Tahoma"/>
            <family val="2"/>
          </rPr>
          <t xml:space="preserve"> Suppressed numbers due to disclosure control have been replaced with an asterisk</t>
        </r>
      </text>
    </comment>
    <comment ref="AN29" authorId="0" shapeId="0" xr:uid="{00000000-0006-0000-0000-000005000000}">
      <text>
        <r>
          <rPr>
            <b/>
            <sz val="9"/>
            <color indexed="81"/>
            <rFont val="Tahoma"/>
            <family val="2"/>
          </rPr>
          <t>Amy Sharp:</t>
        </r>
        <r>
          <rPr>
            <sz val="9"/>
            <color indexed="81"/>
            <rFont val="Tahoma"/>
            <family val="2"/>
          </rPr>
          <t xml:space="preserve">
This is the first month that this measure has been available as valid and complete records have been counted.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Amy Sharp</author>
  </authors>
  <commentList>
    <comment ref="B12" authorId="0" shapeId="0" xr:uid="{00000000-0006-0000-0200-000001000000}">
      <text>
        <r>
          <rPr>
            <b/>
            <sz val="9"/>
            <color indexed="81"/>
            <rFont val="Tahoma"/>
            <family val="2"/>
          </rPr>
          <t>Amy Sharp:</t>
        </r>
        <r>
          <rPr>
            <sz val="9"/>
            <color indexed="81"/>
            <rFont val="Tahoma"/>
            <family val="2"/>
          </rPr>
          <t xml:space="preserve">
Change in the criteria used to calculate the CSDS score (%). </t>
        </r>
      </text>
    </comment>
  </commentList>
</comments>
</file>

<file path=xl/sharedStrings.xml><?xml version="1.0" encoding="utf-8"?>
<sst xmlns="http://schemas.openxmlformats.org/spreadsheetml/2006/main" count="217" uniqueCount="102">
  <si>
    <t>Proportion Valid &amp; Complete</t>
  </si>
  <si>
    <t>Number of Records</t>
  </si>
  <si>
    <t>Valid &amp; Complete</t>
  </si>
  <si>
    <t>Defaults</t>
  </si>
  <si>
    <t>Ethnic Category</t>
  </si>
  <si>
    <t>General Medical Practice Code (Patient Registration)</t>
  </si>
  <si>
    <t>Valid and Complete</t>
  </si>
  <si>
    <t>NHS Number</t>
  </si>
  <si>
    <t>Person Birth Date</t>
  </si>
  <si>
    <t>Person Stated Gender Code</t>
  </si>
  <si>
    <t xml:space="preserve">Valid &amp; Complete </t>
  </si>
  <si>
    <t>Postcode of Usual Address</t>
  </si>
  <si>
    <t>Source of Referral for Community</t>
  </si>
  <si>
    <t>Activity Location Type Code</t>
  </si>
  <si>
    <t>Attended or Did Not Attend Code</t>
  </si>
  <si>
    <t>Coded Finding</t>
  </si>
  <si>
    <t>Consultation Medium Used</t>
  </si>
  <si>
    <t>Language Code</t>
  </si>
  <si>
    <t>Primary Reason for Referral</t>
  </si>
  <si>
    <t>Date</t>
  </si>
  <si>
    <t xml:space="preserve">This is the organisation code of the GP Practice that the patient is registered with. </t>
  </si>
  <si>
    <t>The ethnicity of a person, as specificed by the person.</t>
  </si>
  <si>
    <t>Code Finding</t>
  </si>
  <si>
    <t>Unique patient identifier.</t>
  </si>
  <si>
    <t>A person's date of birth.</t>
  </si>
  <si>
    <t>A person's current gender.</t>
  </si>
  <si>
    <t>The postcode of the address nominated by the patient where the address association type is 'Main Permanent Residence' or 'Other Permanent Residence'.</t>
  </si>
  <si>
    <t>A classification which identifies the source of referral to a Community Health Service. Internal Referrals should normally be recorded as 'Community Service' and the Referring Organisation Code will be the same as the Organisation Code (Code of Provider).</t>
  </si>
  <si>
    <t>The type of physical LOCATION where PATIENTS are seen or where SERVICES are provided or from which requests for services are sent.</t>
  </si>
  <si>
    <t>Indicates whether an APPOINTMENT for a CARE CONTACT tok place and if the APPOINTMENT did not take place whether acvanced warning was given.</t>
  </si>
  <si>
    <t>A unique identifier for a finding from a specific classification or clinical terminology.</t>
  </si>
  <si>
    <t>Identifies the communication mechanism used to relay information between the CARE PROFESSIONAL and the PERSON who is the subject of the consultation, during a CARE ACTIVITY.</t>
  </si>
  <si>
    <t>LANGUAGE CODE (PREFERRED) is the language the PATIENT prefers to use for communication with a Health Care Provider.</t>
  </si>
  <si>
    <t>The primary presenting condition or symptom for which the patient was referred to a Community Health Service.</t>
  </si>
  <si>
    <r>
      <t>Valid</t>
    </r>
    <r>
      <rPr>
        <sz val="11"/>
        <color theme="1"/>
        <rFont val="Calibri"/>
        <family val="2"/>
        <scheme val="minor"/>
      </rPr>
      <t xml:space="preserve"> where code in (national codes from the data dictionary)
</t>
    </r>
    <r>
      <rPr>
        <b/>
        <sz val="11"/>
        <color theme="1"/>
        <rFont val="Calibri"/>
        <family val="2"/>
        <scheme val="minor"/>
      </rPr>
      <t>Default</t>
    </r>
    <r>
      <rPr>
        <sz val="11"/>
        <color theme="1"/>
        <rFont val="Calibri"/>
        <family val="2"/>
        <scheme val="minor"/>
      </rPr>
      <t xml:space="preserve"> where code = '99' </t>
    </r>
    <r>
      <rPr>
        <b/>
        <sz val="11"/>
        <color theme="1"/>
        <rFont val="Calibri"/>
        <family val="2"/>
        <scheme val="minor"/>
      </rPr>
      <t>else</t>
    </r>
    <r>
      <rPr>
        <sz val="11"/>
        <color theme="1"/>
        <rFont val="Calibri"/>
        <family val="2"/>
        <scheme val="minor"/>
      </rPr>
      <t xml:space="preserve"> missing/invalid</t>
    </r>
  </si>
  <si>
    <r>
      <rPr>
        <b/>
        <sz val="11"/>
        <color theme="1"/>
        <rFont val="Calibri"/>
        <family val="2"/>
        <scheme val="minor"/>
      </rPr>
      <t xml:space="preserve">Valid </t>
    </r>
    <r>
      <rPr>
        <sz val="11"/>
        <color theme="1"/>
        <rFont val="Calibri"/>
        <family val="2"/>
        <scheme val="minor"/>
      </rPr>
      <t xml:space="preserve">where code in (Organisational Data Service reference tables and active during reporting period)
</t>
    </r>
    <r>
      <rPr>
        <b/>
        <sz val="11"/>
        <color theme="1"/>
        <rFont val="Calibri"/>
        <family val="2"/>
        <scheme val="minor"/>
      </rPr>
      <t>Default</t>
    </r>
    <r>
      <rPr>
        <sz val="11"/>
        <color theme="1"/>
        <rFont val="Calibri"/>
        <family val="2"/>
        <scheme val="minor"/>
      </rPr>
      <t xml:space="preserve"> where code in ('V81997', 'V81998', 'V81999') </t>
    </r>
    <r>
      <rPr>
        <b/>
        <sz val="11"/>
        <color theme="1"/>
        <rFont val="Calibri"/>
        <family val="2"/>
        <scheme val="minor"/>
      </rPr>
      <t>else</t>
    </r>
    <r>
      <rPr>
        <sz val="11"/>
        <color theme="1"/>
        <rFont val="Calibri"/>
        <family val="2"/>
        <scheme val="minor"/>
      </rPr>
      <t xml:space="preserve"> missing/invalid</t>
    </r>
  </si>
  <si>
    <r>
      <t>Valid</t>
    </r>
    <r>
      <rPr>
        <sz val="11"/>
        <color theme="1"/>
        <rFont val="Calibri"/>
        <family val="2"/>
        <scheme val="minor"/>
      </rPr>
      <t xml:space="preserve"> where (NHS Number has passed the modulus 11 check) </t>
    </r>
    <r>
      <rPr>
        <b/>
        <sz val="11"/>
        <color theme="1"/>
        <rFont val="Calibri"/>
        <family val="2"/>
        <scheme val="minor"/>
      </rPr>
      <t xml:space="preserve">else </t>
    </r>
    <r>
      <rPr>
        <sz val="11"/>
        <color theme="1"/>
        <rFont val="Calibri"/>
        <family val="2"/>
        <scheme val="minor"/>
      </rPr>
      <t>missing/invalid</t>
    </r>
  </si>
  <si>
    <r>
      <t>Valid</t>
    </r>
    <r>
      <rPr>
        <sz val="11"/>
        <color theme="1"/>
        <rFont val="Calibri"/>
        <family val="2"/>
        <scheme val="minor"/>
      </rPr>
      <t xml:space="preserve"> where (age of patient at reporting period end) present </t>
    </r>
    <r>
      <rPr>
        <b/>
        <sz val="11"/>
        <color theme="1"/>
        <rFont val="Calibri"/>
        <family val="2"/>
        <scheme val="minor"/>
      </rPr>
      <t>else</t>
    </r>
    <r>
      <rPr>
        <sz val="11"/>
        <color theme="1"/>
        <rFont val="Calibri"/>
        <family val="2"/>
        <scheme val="minor"/>
      </rPr>
      <t xml:space="preserve"> missing/invalid</t>
    </r>
  </si>
  <si>
    <r>
      <t>Valid</t>
    </r>
    <r>
      <rPr>
        <sz val="11"/>
        <color theme="1"/>
        <rFont val="Calibri"/>
        <family val="2"/>
        <scheme val="minor"/>
      </rPr>
      <t xml:space="preserve"> where code in (national codes from the data dictionary) 
</t>
    </r>
    <r>
      <rPr>
        <b/>
        <sz val="11"/>
        <color theme="1"/>
        <rFont val="Calibri"/>
        <family val="2"/>
        <scheme val="minor"/>
      </rPr>
      <t>Default</t>
    </r>
    <r>
      <rPr>
        <sz val="11"/>
        <color theme="1"/>
        <rFont val="Calibri"/>
        <family val="2"/>
        <scheme val="minor"/>
      </rPr>
      <t xml:space="preserve"> where code = 'X' </t>
    </r>
    <r>
      <rPr>
        <b/>
        <sz val="11"/>
        <color theme="1"/>
        <rFont val="Calibri"/>
        <family val="2"/>
        <scheme val="minor"/>
      </rPr>
      <t>else</t>
    </r>
    <r>
      <rPr>
        <sz val="11"/>
        <color theme="1"/>
        <rFont val="Calibri"/>
        <family val="2"/>
        <scheme val="minor"/>
      </rPr>
      <t xml:space="preserve"> missing/invalid</t>
    </r>
  </si>
  <si>
    <r>
      <t>Valid</t>
    </r>
    <r>
      <rPr>
        <sz val="11"/>
        <color theme="1"/>
        <rFont val="Calibri"/>
        <family val="2"/>
        <scheme val="minor"/>
      </rPr>
      <t xml:space="preserve"> where (postcode is a valid postcode during the reporting period)
</t>
    </r>
    <r>
      <rPr>
        <b/>
        <sz val="11"/>
        <color theme="1"/>
        <rFont val="Calibri"/>
        <family val="2"/>
        <scheme val="minor"/>
      </rPr>
      <t>Default</t>
    </r>
    <r>
      <rPr>
        <sz val="11"/>
        <color theme="1"/>
        <rFont val="Calibri"/>
        <family val="2"/>
        <scheme val="minor"/>
      </rPr>
      <t xml:space="preserve"> where postcode like 'ZZ99%' </t>
    </r>
    <r>
      <rPr>
        <b/>
        <sz val="11"/>
        <color theme="1"/>
        <rFont val="Calibri"/>
        <family val="2"/>
        <scheme val="minor"/>
      </rPr>
      <t xml:space="preserve">else </t>
    </r>
    <r>
      <rPr>
        <sz val="11"/>
        <color theme="1"/>
        <rFont val="Calibri"/>
        <family val="2"/>
        <scheme val="minor"/>
      </rPr>
      <t>missing/invalid</t>
    </r>
  </si>
  <si>
    <t>Defaults in Excess</t>
  </si>
  <si>
    <t>*</t>
  </si>
  <si>
    <t>Proportion Valid &amp; Complete (%)</t>
  </si>
  <si>
    <t>CSDS Score</t>
  </si>
  <si>
    <t>Moving range</t>
  </si>
  <si>
    <t>Moving range average (XMR)</t>
  </si>
  <si>
    <t>Mean</t>
  </si>
  <si>
    <t>Upper control limit</t>
  </si>
  <si>
    <t>Lower control limit</t>
  </si>
  <si>
    <t>Baseline</t>
  </si>
  <si>
    <t>New Baseline (12 or 24 data points)</t>
  </si>
  <si>
    <t>Outliers</t>
  </si>
  <si>
    <t>Position</t>
  </si>
  <si>
    <t>Trend</t>
  </si>
  <si>
    <t>Variation</t>
  </si>
  <si>
    <t>New XMR</t>
  </si>
  <si>
    <t>8 in a row above or below the mean</t>
  </si>
  <si>
    <t>7 in a row all increasing or decreasing</t>
  </si>
  <si>
    <t xml:space="preserve">New Mean </t>
  </si>
  <si>
    <t>New UCL</t>
  </si>
  <si>
    <t>New LCL</t>
  </si>
  <si>
    <t>Findings</t>
  </si>
  <si>
    <t>Completeness Scores of Measures from CYP001 and CYP002 Compared to Overall CSDS Completeness Score</t>
  </si>
  <si>
    <t>A)</t>
  </si>
  <si>
    <t>B)</t>
  </si>
  <si>
    <t>C)</t>
  </si>
  <si>
    <t>D)</t>
  </si>
  <si>
    <t xml:space="preserve">The Attended or Did Not Attend Code was only introduced as a measure of CSDS from April 2019. This has remained at 100% since the inclusion of the metric.
As this measure is at 100% completeness, no investigation is required. However, this will continued to be monitoried to ensure data quality and to identify any possible issues that may arise in the future. </t>
  </si>
  <si>
    <t>CSDS DQ Score</t>
  </si>
  <si>
    <t>SPC Chart of CSDS DQMI Score (%)</t>
  </si>
  <si>
    <t>Completeness Scores of Measures from CYP101, CYP201 and CYP202 Compared to Overall CSDS Completeness Score</t>
  </si>
  <si>
    <t>F)</t>
  </si>
  <si>
    <t>E)</t>
  </si>
  <si>
    <t>The special cause variation seen in October 2019 with a score below the lower control limit was due to low completeness submissions for Consultation Medium Used and Language Code. This error was rectified the following month and was due to an issue with scripts not being run before submission of the data.</t>
  </si>
  <si>
    <t>Predicted CSDS Scores for Upcoming Months</t>
  </si>
  <si>
    <t>Ethnicity</t>
  </si>
  <si>
    <t>GP Code</t>
  </si>
  <si>
    <t>Gender</t>
  </si>
  <si>
    <t>Postcode</t>
  </si>
  <si>
    <t>Source of Referral</t>
  </si>
  <si>
    <t>DNA</t>
  </si>
  <si>
    <t>Consultation Medium</t>
  </si>
  <si>
    <t>Primary Referral Reason</t>
  </si>
  <si>
    <t>Date of Birth</t>
  </si>
  <si>
    <t>Language Preferred</t>
  </si>
  <si>
    <t xml:space="preserve">Activity Location </t>
  </si>
  <si>
    <t>Using the data available from the monthly CSDS submissions (refresh data only), the following values have been predicted for the completeness scores of the dataset in upcoming months. Overall scores are:</t>
  </si>
  <si>
    <t>There is ongoing work on Contacts methods and types with plans to introduce and assign the video conferencing that has arisen from the Covid-19 pandemic.
Whilst there has been limited change to the score as "98" is used as a default in System One, there has been improvement to the baseline data with much less of it being made up of NULL and "98".</t>
  </si>
  <si>
    <t xml:space="preserve">Ethnicity completeness is continuing to improve at a steady pace and now includes EMIS Merton data following the move from RiO. 
In the upcoming months, the new Brent services will be coming on board, therefore it will be important to review the data and ensure all ethnicity mapping is completed as part of the Trust's ongoing improvement project and health inequalities work. </t>
  </si>
  <si>
    <t>The General Medicial Practice Code completeness scored has levelled out at 100% since October 2019. 
This data is a combination of General Medical Practice Codes and codes that denote that no code is available. Therefore, a proportion of these patients do not have an available GP practice, although they have been coded correctly according to the NHS Data Dictionary.</t>
  </si>
  <si>
    <t>Now that these metrics have stabilised they will be continually monitored going forward using the DQMI data to ensure data quality and to enable the identification of any issues that may arise in the future.</t>
  </si>
  <si>
    <t>The completeness of the Activity Location Type Code field has dipped in recent months following the introduction of the new clinical system, EMIS Merton. There is ongoing work that aims to map all contact locations to those listed in CSDS.
Currently being investigated is where the data is being pulled from on the clinical system to ensure that the data being pulled is correct and that it covers all data available.</t>
  </si>
  <si>
    <t>Although primary reason for referral show 100% complete, this does not show the full picture. This is made up of several codes including a code for "unknown" which has been used as a default code in these cases. 
Investigation is underway to pinpoint where these issues lie, i.e. the team, the clinical system, etc., and work will be undertaken to improve the quality of this data.</t>
  </si>
  <si>
    <t xml:space="preserve">Although source of referral for community currenlty shows 100% complete, this does not show the full picture. This is made up of several codes including a code for "unknown" which has been used as a default code in these cases. 
Investigation is underway to pinpoint where these issues lie, i.e. the team, the clinical system, etc., and work will be undertaken to improve the quality of this data. </t>
  </si>
  <si>
    <t>NHS Digitial updated the criteria that was used to calculate the DQMI score adding in additional categories, including: Activity Location Type, Attend or Did Not Attend Code, Coded Finding, Consultation Medium Used, Language Code and Primary Reason for Referral. This has a resulted in a decrease in the overall completeness score of the data.</t>
  </si>
  <si>
    <t>A run of eight points below the mean shows special cause variation in the completenessof the CSDS dataset.</t>
  </si>
  <si>
    <t>The last four months have values outside the upper control limit. This is special cause variation and is a result of the ongoing work to improve the data quality of the CSDS dataset, and thus the overall DQMI score for the Trust.</t>
  </si>
  <si>
    <t xml:space="preserve">The control limits and mean have been recalculated here as the September 2020 was when focused work began on improving the overall data quality of the CSDS dataset submitted. The last 12+ months of data have shown a continual improvement to the quality of the data submitted. Additionally, the control limits have reduced in width meaning that the completeness score is much more consistent month on month as a result of this work. </t>
  </si>
  <si>
    <t xml:space="preserve">September 2021: </t>
  </si>
  <si>
    <t xml:space="preserve">October 2021: </t>
  </si>
  <si>
    <t>The completeness of NHS Number, Person Birth Date and Person Stated Gender Code have remained relatively steady around the 95-100% completeness mark. There was a blip in the Person Stated Gender Code completeness from October 2019 to December 2019, however this appears to have been rectified and remain steady since.
These metrics will continue to be monitored to ensure the highest standard of data quality and to identify any issues that may arise in the future.</t>
  </si>
  <si>
    <t>Following some advice provided by NHS Digital on how to code Read Codes and SNOMED CT Codes for the Coded Finding, Procedure and Observation fields, there has been a big improvement in the completeness of this field. Over the past six months this measure has increased from 1.9% completeness to 31.7% completeness.
Work remains ongoing with the Read Codes and SNOMED CT Codes to keep assigning them to the above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</si>
</sst>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 yyyy"/>
    <numFmt numFmtId="166" formatCode="0.000"/>
  </numFmts>
  <fonts count="27"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rgb="FF000000"/>
      <name val="Calibri"/>
      <family val="2"/>
    </font>
    <font>
      <sz val="10.5"/>
      <name val="Arial"/>
      <family val="2"/>
    </font>
    <font>
      <b/>
      <sz val="12"/>
      <color theme="1"/>
      <name val="Calibri"/>
      <family val="2"/>
      <scheme val="minor"/>
    </font>
    <font>
      <b/>
      <sz val="14"/>
      <color theme="1"/>
      <name val="Calibri"/>
      <family val="2"/>
      <scheme val="minor"/>
    </font>
    <font>
      <b/>
      <sz val="11"/>
      <color rgb="FFFF0000"/>
      <name val="Calibri"/>
      <family val="2"/>
      <scheme val="minor"/>
    </font>
  </fonts>
  <fills count="43">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rgb="FFF1EFF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5">
    <xf numFmtId="0" fontId="0" fillId="0" borderId="0"/>
    <xf numFmtId="9" fontId="3"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0"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2" fillId="13" borderId="5" applyNumberFormat="0" applyAlignment="0" applyProtection="0"/>
    <xf numFmtId="0" fontId="13" fillId="14" borderId="6" applyNumberFormat="0" applyAlignment="0" applyProtection="0"/>
    <xf numFmtId="0" fontId="14" fillId="14" borderId="5" applyNumberFormat="0" applyAlignment="0" applyProtection="0"/>
    <xf numFmtId="0" fontId="15" fillId="0" borderId="7" applyNumberFormat="0" applyFill="0" applyAlignment="0" applyProtection="0"/>
    <xf numFmtId="0" fontId="16" fillId="15" borderId="8" applyNumberFormat="0" applyAlignment="0" applyProtection="0"/>
    <xf numFmtId="0" fontId="17" fillId="0" borderId="0" applyNumberFormat="0" applyFill="0" applyBorder="0" applyAlignment="0" applyProtection="0"/>
    <xf numFmtId="0" fontId="3" fillId="16" borderId="9" applyNumberFormat="0" applyFont="0" applyAlignment="0" applyProtection="0"/>
    <xf numFmtId="0" fontId="18" fillId="0" borderId="0" applyNumberFormat="0" applyFill="0" applyBorder="0" applyAlignment="0" applyProtection="0"/>
    <xf numFmtId="0" fontId="4" fillId="0" borderId="10" applyNumberFormat="0" applyFill="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19" fillId="40" borderId="0" applyNumberFormat="0" applyBorder="0" applyAlignment="0" applyProtection="0"/>
    <xf numFmtId="0" fontId="20" fillId="0" borderId="0"/>
    <xf numFmtId="0" fontId="3" fillId="0" borderId="0"/>
    <xf numFmtId="0" fontId="3" fillId="16" borderId="9" applyNumberFormat="0" applyFont="0" applyAlignment="0" applyProtection="0"/>
    <xf numFmtId="0" fontId="21" fillId="0" borderId="0"/>
    <xf numFmtId="43" fontId="21" fillId="0" borderId="0" applyFont="0" applyFill="0" applyBorder="0" applyAlignment="0" applyProtection="0"/>
    <xf numFmtId="0" fontId="22" fillId="0" borderId="0"/>
    <xf numFmtId="0" fontId="21" fillId="0" borderId="0"/>
    <xf numFmtId="9" fontId="21" fillId="0" borderId="0" applyFont="0" applyFill="0" applyBorder="0" applyAlignment="0" applyProtection="0"/>
    <xf numFmtId="0" fontId="22" fillId="0" borderId="0"/>
    <xf numFmtId="0" fontId="20" fillId="0" borderId="0"/>
    <xf numFmtId="0" fontId="22" fillId="0" borderId="0"/>
    <xf numFmtId="0" fontId="21" fillId="0" borderId="0"/>
  </cellStyleXfs>
  <cellXfs count="51">
    <xf numFmtId="0" fontId="0" fillId="0" borderId="0" xfId="0"/>
    <xf numFmtId="0" fontId="0" fillId="0" borderId="1" xfId="0" applyBorder="1"/>
    <xf numFmtId="0" fontId="0" fillId="4" borderId="1" xfId="0" applyFill="1" applyBorder="1" applyAlignment="1">
      <alignment wrapText="1"/>
    </xf>
    <xf numFmtId="0" fontId="0" fillId="2" borderId="1" xfId="0" applyFill="1" applyBorder="1" applyAlignment="1">
      <alignment wrapText="1"/>
    </xf>
    <xf numFmtId="0" fontId="4" fillId="6" borderId="1" xfId="0" applyFont="1" applyFill="1" applyBorder="1" applyAlignment="1">
      <alignment vertical="center"/>
    </xf>
    <xf numFmtId="0" fontId="4" fillId="6" borderId="1"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wrapText="1"/>
    </xf>
    <xf numFmtId="0" fontId="4" fillId="0" borderId="0" xfId="0" applyFont="1" applyAlignment="1">
      <alignment vertical="center"/>
    </xf>
    <xf numFmtId="0" fontId="0" fillId="8" borderId="1" xfId="0" applyFill="1" applyBorder="1"/>
    <xf numFmtId="0" fontId="0" fillId="0" borderId="1" xfId="0" applyFill="1" applyBorder="1"/>
    <xf numFmtId="0" fontId="0" fillId="9" borderId="1" xfId="0" applyFill="1" applyBorder="1"/>
    <xf numFmtId="164" fontId="0" fillId="9" borderId="1" xfId="1" applyNumberFormat="1" applyFont="1" applyFill="1" applyBorder="1"/>
    <xf numFmtId="164" fontId="0" fillId="0" borderId="1" xfId="1" applyNumberFormat="1" applyFont="1" applyFill="1" applyBorder="1"/>
    <xf numFmtId="164" fontId="0" fillId="0" borderId="1" xfId="1" applyNumberFormat="1" applyFont="1" applyBorder="1"/>
    <xf numFmtId="164" fontId="0" fillId="0" borderId="1" xfId="0" applyNumberFormat="1" applyFill="1" applyBorder="1"/>
    <xf numFmtId="165" fontId="0" fillId="7" borderId="1" xfId="0" applyNumberFormat="1" applyFill="1" applyBorder="1"/>
    <xf numFmtId="164" fontId="0" fillId="0" borderId="1" xfId="0" applyNumberFormat="1" applyBorder="1"/>
    <xf numFmtId="0" fontId="4" fillId="41" borderId="1" xfId="0" applyFont="1" applyFill="1" applyBorder="1" applyAlignment="1">
      <alignment vertical="center" wrapText="1"/>
    </xf>
    <xf numFmtId="0" fontId="25" fillId="0" borderId="0" xfId="0" applyFont="1" applyAlignment="1">
      <alignment horizontal="right"/>
    </xf>
    <xf numFmtId="0" fontId="0" fillId="0" borderId="0" xfId="0"/>
    <xf numFmtId="0" fontId="0" fillId="42" borderId="0" xfId="0" applyFill="1"/>
    <xf numFmtId="0" fontId="23" fillId="42" borderId="0" xfId="0" applyFont="1" applyFill="1" applyBorder="1" applyAlignment="1">
      <alignment vertical="center"/>
    </xf>
    <xf numFmtId="0" fontId="0" fillId="0" borderId="0" xfId="0" applyAlignment="1">
      <alignment vertical="top" wrapText="1"/>
    </xf>
    <xf numFmtId="166" fontId="0" fillId="0" borderId="1" xfId="0" applyNumberFormat="1" applyBorder="1" applyAlignment="1">
      <alignment horizontal="center" vertical="center"/>
    </xf>
    <xf numFmtId="166" fontId="0" fillId="0" borderId="1" xfId="0" applyNumberFormat="1" applyFont="1" applyFill="1" applyBorder="1" applyAlignment="1">
      <alignment horizontal="center" vertical="center" wrapText="1"/>
    </xf>
    <xf numFmtId="166" fontId="0" fillId="0" borderId="1" xfId="0" applyNumberFormat="1" applyBorder="1" applyAlignment="1">
      <alignment horizontal="center"/>
    </xf>
    <xf numFmtId="166" fontId="0" fillId="0" borderId="1" xfId="0" applyNumberFormat="1" applyFill="1" applyBorder="1" applyAlignment="1">
      <alignment horizontal="center"/>
    </xf>
    <xf numFmtId="0" fontId="4" fillId="0" borderId="0" xfId="0" applyFont="1" applyAlignment="1">
      <alignment horizontal="center" vertical="center" wrapText="1"/>
    </xf>
    <xf numFmtId="164" fontId="4" fillId="0" borderId="1" xfId="1" applyNumberFormat="1" applyFont="1" applyBorder="1" applyAlignment="1">
      <alignment horizontal="center" vertical="center"/>
    </xf>
    <xf numFmtId="0" fontId="0" fillId="7" borderId="1" xfId="0" applyFill="1" applyBorder="1" applyAlignment="1">
      <alignment horizontal="center" vertical="center"/>
    </xf>
    <xf numFmtId="0" fontId="4" fillId="4" borderId="1" xfId="0" applyFont="1" applyFill="1" applyBorder="1" applyAlignment="1">
      <alignment horizontal="center" vertical="center" wrapText="1"/>
    </xf>
    <xf numFmtId="164" fontId="0" fillId="0" borderId="1" xfId="1" applyNumberFormat="1" applyFont="1" applyBorder="1" applyAlignment="1">
      <alignment horizontal="center" vertical="center"/>
    </xf>
    <xf numFmtId="0" fontId="4" fillId="0" borderId="0" xfId="0" applyFont="1"/>
    <xf numFmtId="164" fontId="26" fillId="0" borderId="1" xfId="1" applyNumberFormat="1" applyFont="1" applyFill="1" applyBorder="1"/>
    <xf numFmtId="164" fontId="4" fillId="0" borderId="0" xfId="0" applyNumberFormat="1" applyFont="1"/>
    <xf numFmtId="0" fontId="0" fillId="0" borderId="0" xfId="0" applyAlignment="1">
      <alignment horizontal="left" vertical="center" wrapText="1"/>
    </xf>
    <xf numFmtId="0" fontId="4" fillId="5" borderId="1" xfId="0" applyFont="1" applyFill="1" applyBorder="1" applyAlignment="1">
      <alignment horizontal="center"/>
    </xf>
    <xf numFmtId="0" fontId="4" fillId="3" borderId="1" xfId="0" applyFont="1" applyFill="1" applyBorder="1" applyAlignment="1">
      <alignment horizontal="center"/>
    </xf>
    <xf numFmtId="0" fontId="4" fillId="41" borderId="12" xfId="0" applyFont="1" applyFill="1" applyBorder="1" applyAlignment="1">
      <alignment horizontal="center" vertical="center" wrapText="1"/>
    </xf>
    <xf numFmtId="0" fontId="4" fillId="41" borderId="13" xfId="0" applyFont="1" applyFill="1" applyBorder="1" applyAlignment="1">
      <alignment horizontal="center" vertical="center" wrapText="1"/>
    </xf>
    <xf numFmtId="0" fontId="4" fillId="41" borderId="11" xfId="0" applyFont="1" applyFill="1" applyBorder="1" applyAlignment="1">
      <alignment horizontal="center" vertical="center" wrapText="1"/>
    </xf>
    <xf numFmtId="0" fontId="25" fillId="4" borderId="0" xfId="0" applyFont="1" applyFill="1" applyAlignment="1">
      <alignment horizontal="center"/>
    </xf>
    <xf numFmtId="0" fontId="25" fillId="4" borderId="0" xfId="0" applyFont="1" applyFill="1" applyAlignment="1">
      <alignment horizontal="center" wrapText="1"/>
    </xf>
    <xf numFmtId="0" fontId="0" fillId="0" borderId="0" xfId="0" applyAlignment="1">
      <alignment horizontal="left" vertical="top" wrapText="1"/>
    </xf>
    <xf numFmtId="0" fontId="24" fillId="4" borderId="0" xfId="0" applyFont="1" applyFill="1" applyAlignment="1">
      <alignment horizontal="center"/>
    </xf>
    <xf numFmtId="0" fontId="0" fillId="0" borderId="0" xfId="0" applyAlignment="1">
      <alignment horizontal="left" vertical="center" wrapText="1"/>
    </xf>
    <xf numFmtId="164" fontId="0" fillId="0" borderId="12" xfId="1" applyNumberFormat="1" applyFont="1" applyBorder="1" applyAlignment="1">
      <alignment horizontal="center" vertical="center"/>
    </xf>
    <xf numFmtId="164" fontId="0" fillId="0" borderId="11" xfId="1" applyNumberFormat="1" applyFont="1" applyBorder="1" applyAlignment="1">
      <alignment horizontal="center" vertical="center"/>
    </xf>
    <xf numFmtId="0" fontId="4" fillId="4" borderId="1" xfId="0" applyFont="1" applyFill="1" applyBorder="1" applyAlignment="1">
      <alignment horizontal="center" vertical="center" wrapText="1"/>
    </xf>
  </cellXfs>
  <cellStyles count="5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7"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00000000-0005-0000-0000-000026000000}"/>
    <cellStyle name="Normal 2 2" xfId="46" xr:uid="{00000000-0005-0000-0000-000027000000}"/>
    <cellStyle name="Normal 2 3" xfId="49" xr:uid="{00000000-0005-0000-0000-000028000000}"/>
    <cellStyle name="Normal 2 3 2" xfId="54" xr:uid="{00000000-0005-0000-0000-000029000000}"/>
    <cellStyle name="Normal 3" xfId="43" xr:uid="{00000000-0005-0000-0000-00002A000000}"/>
    <cellStyle name="Normal 3 2" xfId="52" xr:uid="{00000000-0005-0000-0000-00002B000000}"/>
    <cellStyle name="Normal 4" xfId="48" xr:uid="{00000000-0005-0000-0000-00002C000000}"/>
    <cellStyle name="Normal 4 2" xfId="53" xr:uid="{00000000-0005-0000-0000-00002D000000}"/>
    <cellStyle name="Normal 5" xfId="51" xr:uid="{00000000-0005-0000-0000-00002E000000}"/>
    <cellStyle name="Note" xfId="16" builtinId="10" customBuiltin="1"/>
    <cellStyle name="Note 2" xfId="45" xr:uid="{00000000-0005-0000-0000-000030000000}"/>
    <cellStyle name="Output" xfId="11" builtinId="21" customBuiltin="1"/>
    <cellStyle name="Per cent" xfId="1" builtinId="5"/>
    <cellStyle name="Percent 2" xfId="50" xr:uid="{00000000-0005-0000-0000-000033000000}"/>
    <cellStyle name="Title" xfId="2" builtinId="15" customBuiltin="1"/>
    <cellStyle name="Total" xfId="18" builtinId="25" customBuiltin="1"/>
    <cellStyle name="Warning Text" xfId="15" builtinId="11" customBuiltin="1"/>
  </cellStyles>
  <dxfs count="5">
    <dxf>
      <font>
        <b/>
        <i val="0"/>
        <color rgb="FFFF0000"/>
      </font>
      <fill>
        <patternFill patternType="none">
          <bgColor auto="1"/>
        </patternFill>
      </fill>
    </dxf>
    <dxf>
      <fill>
        <patternFill>
          <bgColor theme="5" tint="0.59996337778862885"/>
        </patternFill>
      </fill>
    </dxf>
    <dxf>
      <fill>
        <patternFill>
          <bgColor theme="6" tint="0.59996337778862885"/>
        </patternFill>
      </fill>
    </dxf>
    <dxf>
      <fill>
        <patternFill>
          <bgColor theme="4" tint="0.59996337778862885"/>
        </patternFill>
      </fill>
    </dxf>
    <dxf>
      <fill>
        <patternFill>
          <bgColor theme="9" tint="0.59996337778862885"/>
        </patternFill>
      </fill>
    </dxf>
  </dxfs>
  <tableStyles count="0" defaultTableStyle="TableStyleMedium2" defaultPivotStyle="PivotStyleLight16"/>
  <colors>
    <mruColors>
      <color rgb="FFCC0066"/>
      <color rgb="FF99FF99"/>
      <color rgb="FFFF9966"/>
      <color rgb="FFCCCCFF"/>
      <color rgb="FFFFCC00"/>
      <color rgb="FFFF8989"/>
      <color rgb="FFF1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4099234741881195"/>
          <c:y val="6.8138034633238309E-2"/>
          <c:w val="0.80968337150560121"/>
          <c:h val="0.60624453796025413"/>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75F4-4334-AF2A-4EEC54D92AD6}"/>
            </c:ext>
          </c:extLst>
        </c:ser>
        <c:ser>
          <c:idx val="1"/>
          <c:order val="1"/>
          <c:tx>
            <c:strRef>
              <c:f>'DQMI Data'!$AN$1:$AQ$1</c:f>
              <c:strCache>
                <c:ptCount val="1"/>
                <c:pt idx="0">
                  <c:v>Coded Finding</c:v>
                </c:pt>
              </c:strCache>
            </c:strRef>
          </c:tx>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Data'!$AN$3:$AN$38</c:f>
              <c:numCache>
                <c:formatCode>General</c:formatCode>
                <c:ptCount val="36"/>
                <c:pt idx="26" formatCode="0.0%">
                  <c:v>1.9092540374263011E-2</c:v>
                </c:pt>
                <c:pt idx="27" formatCode="0.0%">
                  <c:v>1.920713312029319E-2</c:v>
                </c:pt>
                <c:pt idx="28" formatCode="0.0%">
                  <c:v>2.075442726993551E-2</c:v>
                </c:pt>
                <c:pt idx="29" formatCode="0.0%">
                  <c:v>2.1330671989354625E-2</c:v>
                </c:pt>
                <c:pt idx="30" formatCode="0.0%">
                  <c:v>7.379851653282142E-2</c:v>
                </c:pt>
                <c:pt idx="31" formatCode="0.0%">
                  <c:v>7.9258539033340653E-2</c:v>
                </c:pt>
                <c:pt idx="32" formatCode="0.0%">
                  <c:v>0.28956953456835782</c:v>
                </c:pt>
                <c:pt idx="33" formatCode="0.0%">
                  <c:v>0.30766713602919304</c:v>
                </c:pt>
                <c:pt idx="34" formatCode="0.0%">
                  <c:v>0.31558391378356082</c:v>
                </c:pt>
                <c:pt idx="35" formatCode="0.0%">
                  <c:v>0.3173302359596481</c:v>
                </c:pt>
              </c:numCache>
            </c:numRef>
          </c:val>
          <c:smooth val="0"/>
          <c:extLst>
            <c:ext xmlns:c16="http://schemas.microsoft.com/office/drawing/2014/chart" uri="{C3380CC4-5D6E-409C-BE32-E72D297353CC}">
              <c16:uniqueId val="{00000001-75F4-4334-AF2A-4EEC54D92AD6}"/>
            </c:ext>
          </c:extLst>
        </c:ser>
        <c:dLbls>
          <c:showLegendKey val="0"/>
          <c:showVal val="0"/>
          <c:showCatName val="0"/>
          <c:showSerName val="0"/>
          <c:showPercent val="0"/>
          <c:showBubbleSize val="0"/>
        </c:dLbls>
        <c:smooth val="0"/>
        <c:axId val="238123264"/>
        <c:axId val="236926080"/>
      </c:lineChart>
      <c:dateAx>
        <c:axId val="238123264"/>
        <c:scaling>
          <c:orientation val="minMax"/>
        </c:scaling>
        <c:delete val="0"/>
        <c:axPos val="b"/>
        <c:numFmt formatCode="mmm\ yyyy" sourceLinked="1"/>
        <c:majorTickMark val="out"/>
        <c:minorTickMark val="none"/>
        <c:tickLblPos val="nextTo"/>
        <c:txPr>
          <a:bodyPr rot="0" vert="horz"/>
          <a:lstStyle/>
          <a:p>
            <a:pPr>
              <a:defRPr/>
            </a:pPr>
            <a:endParaRPr lang="en-US"/>
          </a:p>
        </c:txPr>
        <c:crossAx val="236926080"/>
        <c:crosses val="autoZero"/>
        <c:auto val="1"/>
        <c:lblOffset val="100"/>
        <c:baseTimeUnit val="months"/>
      </c:dateAx>
      <c:valAx>
        <c:axId val="236926080"/>
        <c:scaling>
          <c:orientation val="minMax"/>
          <c:max val="1.01"/>
          <c:min val="0"/>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38123264"/>
        <c:crosses val="autoZero"/>
        <c:crossBetween val="midCat"/>
      </c:valAx>
    </c:plotArea>
    <c:legend>
      <c:legendPos val="b"/>
      <c:layout>
        <c:manualLayout>
          <c:xMode val="edge"/>
          <c:yMode val="edge"/>
          <c:x val="1.3777202358124933E-3"/>
          <c:y val="0.87165977644199932"/>
          <c:w val="0.98293826980757737"/>
          <c:h val="0.1012278984234396"/>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4099234741881195"/>
          <c:y val="6.8138034633238309E-2"/>
          <c:w val="0.80968337150560121"/>
          <c:h val="0.60624453796025413"/>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2E65-43FA-9D99-38053B55A836}"/>
            </c:ext>
          </c:extLst>
        </c:ser>
        <c:ser>
          <c:idx val="7"/>
          <c:order val="1"/>
          <c:tx>
            <c:strRef>
              <c:f>'DQMI Data'!$AZ$1:$BC$1</c:f>
              <c:strCache>
                <c:ptCount val="1"/>
                <c:pt idx="0">
                  <c:v>Primary Reason for Referral</c:v>
                </c:pt>
              </c:strCache>
            </c:strRef>
          </c:tx>
          <c:spPr>
            <a:ln>
              <a:solidFill>
                <a:srgbClr val="FF9966"/>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Data'!$AZ$3:$AZ$38</c:f>
              <c:numCache>
                <c:formatCode>General</c:formatCode>
                <c:ptCount val="36"/>
                <c:pt idx="7" formatCode="0.0%">
                  <c:v>0.99895840114575873</c:v>
                </c:pt>
                <c:pt idx="8" formatCode="0.0%">
                  <c:v>0.99876945794622529</c:v>
                </c:pt>
                <c:pt idx="9" formatCode="0.0%">
                  <c:v>0.99864104057464576</c:v>
                </c:pt>
                <c:pt idx="10" formatCode="0.0%">
                  <c:v>0.99868486973947901</c:v>
                </c:pt>
                <c:pt idx="11" formatCode="0.0%">
                  <c:v>0.99896907216494846</c:v>
                </c:pt>
                <c:pt idx="12" formatCode="0.0%">
                  <c:v>0.99864148892813476</c:v>
                </c:pt>
                <c:pt idx="13" formatCode="0.0%">
                  <c:v>1</c:v>
                </c:pt>
                <c:pt idx="14" formatCode="0.0%">
                  <c:v>1</c:v>
                </c:pt>
                <c:pt idx="15" formatCode="0.0%">
                  <c:v>1</c:v>
                </c:pt>
                <c:pt idx="16" formatCode="0.0%">
                  <c:v>1</c:v>
                </c:pt>
                <c:pt idx="17" formatCode="0.0%">
                  <c:v>1</c:v>
                </c:pt>
                <c:pt idx="18" formatCode="0.0%">
                  <c:v>1</c:v>
                </c:pt>
                <c:pt idx="19" formatCode="0.0%">
                  <c:v>1</c:v>
                </c:pt>
                <c:pt idx="20" formatCode="0.0%">
                  <c:v>1</c:v>
                </c:pt>
                <c:pt idx="21" formatCode="0.0%">
                  <c:v>1</c:v>
                </c:pt>
                <c:pt idx="22" formatCode="0.0%">
                  <c:v>1</c:v>
                </c:pt>
                <c:pt idx="23" formatCode="0.0%">
                  <c:v>1</c:v>
                </c:pt>
                <c:pt idx="24" formatCode="0.0%">
                  <c:v>1</c:v>
                </c:pt>
                <c:pt idx="25" formatCode="0.0%">
                  <c:v>1</c:v>
                </c:pt>
                <c:pt idx="26" formatCode="0.0%">
                  <c:v>1</c:v>
                </c:pt>
                <c:pt idx="27" formatCode="0.0%">
                  <c:v>1</c:v>
                </c:pt>
                <c:pt idx="28" formatCode="0.0%">
                  <c:v>1</c:v>
                </c:pt>
                <c:pt idx="29" formatCode="0.0%">
                  <c:v>1</c:v>
                </c:pt>
                <c:pt idx="30" formatCode="0.0%">
                  <c:v>1</c:v>
                </c:pt>
                <c:pt idx="31" formatCode="0.0%">
                  <c:v>1</c:v>
                </c:pt>
                <c:pt idx="32" formatCode="0.0%">
                  <c:v>1</c:v>
                </c:pt>
                <c:pt idx="33" formatCode="0.0%">
                  <c:v>1</c:v>
                </c:pt>
                <c:pt idx="34" formatCode="0.0%">
                  <c:v>1</c:v>
                </c:pt>
                <c:pt idx="35" formatCode="0.0%">
                  <c:v>1</c:v>
                </c:pt>
              </c:numCache>
            </c:numRef>
          </c:val>
          <c:smooth val="0"/>
          <c:extLst>
            <c:ext xmlns:c16="http://schemas.microsoft.com/office/drawing/2014/chart" uri="{C3380CC4-5D6E-409C-BE32-E72D297353CC}">
              <c16:uniqueId val="{00000001-2E65-43FA-9D99-38053B55A836}"/>
            </c:ext>
          </c:extLst>
        </c:ser>
        <c:dLbls>
          <c:showLegendKey val="0"/>
          <c:showVal val="0"/>
          <c:showCatName val="0"/>
          <c:showSerName val="0"/>
          <c:showPercent val="0"/>
          <c:showBubbleSize val="0"/>
        </c:dLbls>
        <c:smooth val="0"/>
        <c:axId val="242892800"/>
        <c:axId val="242894336"/>
      </c:lineChart>
      <c:dateAx>
        <c:axId val="242892800"/>
        <c:scaling>
          <c:orientation val="minMax"/>
        </c:scaling>
        <c:delete val="0"/>
        <c:axPos val="b"/>
        <c:numFmt formatCode="mmm\ yyyy" sourceLinked="1"/>
        <c:majorTickMark val="out"/>
        <c:minorTickMark val="none"/>
        <c:tickLblPos val="nextTo"/>
        <c:txPr>
          <a:bodyPr rot="0" vert="horz"/>
          <a:lstStyle/>
          <a:p>
            <a:pPr>
              <a:defRPr/>
            </a:pPr>
            <a:endParaRPr lang="en-US"/>
          </a:p>
        </c:txPr>
        <c:crossAx val="242894336"/>
        <c:crosses val="autoZero"/>
        <c:auto val="1"/>
        <c:lblOffset val="100"/>
        <c:baseTimeUnit val="months"/>
      </c:dateAx>
      <c:valAx>
        <c:axId val="242894336"/>
        <c:scaling>
          <c:orientation val="minMax"/>
          <c:max val="1.01"/>
          <c:min val="0.60000000000000009"/>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2892800"/>
        <c:crosses val="autoZero"/>
        <c:crossBetween val="midCat"/>
      </c:valAx>
    </c:plotArea>
    <c:legend>
      <c:legendPos val="b"/>
      <c:layout>
        <c:manualLayout>
          <c:xMode val="edge"/>
          <c:yMode val="edge"/>
          <c:x val="1.3776186183772654E-3"/>
          <c:y val="0.85486567397383539"/>
          <c:w val="0.993195165605399"/>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4099234741881195"/>
          <c:y val="6.8138034633238309E-2"/>
          <c:w val="0.80968337150560121"/>
          <c:h val="0.60624453796025413"/>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A32F-4D00-993C-69538F3AC944}"/>
            </c:ext>
          </c:extLst>
        </c:ser>
        <c:ser>
          <c:idx val="6"/>
          <c:order val="1"/>
          <c:tx>
            <c:strRef>
              <c:f>'DQMI Data'!$AB$1:$AE$1</c:f>
              <c:strCache>
                <c:ptCount val="1"/>
                <c:pt idx="0">
                  <c:v>Source of Referral for Community</c:v>
                </c:pt>
              </c:strCache>
            </c:strRef>
          </c:tx>
          <c:spPr>
            <a:ln>
              <a:solidFill>
                <a:srgbClr val="99FF99"/>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Data'!$AB$3:$AB$38</c:f>
              <c:numCache>
                <c:formatCode>0.0%</c:formatCode>
                <c:ptCount val="36"/>
                <c:pt idx="1">
                  <c:v>0.95461106655974337</c:v>
                </c:pt>
                <c:pt idx="2">
                  <c:v>0.92692481542865757</c:v>
                </c:pt>
                <c:pt idx="3">
                  <c:v>0.97376522553874978</c:v>
                </c:pt>
                <c:pt idx="4">
                  <c:v>0.97011440579033392</c:v>
                </c:pt>
                <c:pt idx="5">
                  <c:v>0.98348319622473057</c:v>
                </c:pt>
                <c:pt idx="6">
                  <c:v>0.97952715978956706</c:v>
                </c:pt>
                <c:pt idx="7">
                  <c:v>0.9881518130330057</c:v>
                </c:pt>
                <c:pt idx="8">
                  <c:v>0.98295699255522062</c:v>
                </c:pt>
                <c:pt idx="9">
                  <c:v>0.99572898466317217</c:v>
                </c:pt>
                <c:pt idx="10">
                  <c:v>0.99511523046092187</c:v>
                </c:pt>
                <c:pt idx="11">
                  <c:v>0.99793814432989691</c:v>
                </c:pt>
                <c:pt idx="12">
                  <c:v>0.99456595571253903</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val>
          <c:smooth val="0"/>
          <c:extLst>
            <c:ext xmlns:c16="http://schemas.microsoft.com/office/drawing/2014/chart" uri="{C3380CC4-5D6E-409C-BE32-E72D297353CC}">
              <c16:uniqueId val="{00000001-A32F-4D00-993C-69538F3AC944}"/>
            </c:ext>
          </c:extLst>
        </c:ser>
        <c:dLbls>
          <c:showLegendKey val="0"/>
          <c:showVal val="0"/>
          <c:showCatName val="0"/>
          <c:showSerName val="0"/>
          <c:showPercent val="0"/>
          <c:showBubbleSize val="0"/>
        </c:dLbls>
        <c:smooth val="0"/>
        <c:axId val="242939776"/>
        <c:axId val="242941312"/>
      </c:lineChart>
      <c:dateAx>
        <c:axId val="242939776"/>
        <c:scaling>
          <c:orientation val="minMax"/>
        </c:scaling>
        <c:delete val="0"/>
        <c:axPos val="b"/>
        <c:numFmt formatCode="mmm\ yyyy" sourceLinked="1"/>
        <c:majorTickMark val="out"/>
        <c:minorTickMark val="none"/>
        <c:tickLblPos val="nextTo"/>
        <c:txPr>
          <a:bodyPr rot="0" vert="horz"/>
          <a:lstStyle/>
          <a:p>
            <a:pPr>
              <a:defRPr/>
            </a:pPr>
            <a:endParaRPr lang="en-US"/>
          </a:p>
        </c:txPr>
        <c:crossAx val="242941312"/>
        <c:crosses val="autoZero"/>
        <c:auto val="1"/>
        <c:lblOffset val="100"/>
        <c:baseTimeUnit val="months"/>
      </c:dateAx>
      <c:valAx>
        <c:axId val="242941312"/>
        <c:scaling>
          <c:orientation val="minMax"/>
          <c:max val="1.01"/>
          <c:min val="0.60000000000000009"/>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2939776"/>
        <c:crosses val="autoZero"/>
        <c:crossBetween val="midCat"/>
      </c:valAx>
    </c:plotArea>
    <c:legend>
      <c:legendPos val="b"/>
      <c:layout>
        <c:manualLayout>
          <c:xMode val="edge"/>
          <c:yMode val="edge"/>
          <c:x val="1.3776186183772654E-3"/>
          <c:y val="0.85486567397383539"/>
          <c:w val="0.993195165605399"/>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7966647907109582E-2"/>
          <c:y val="7.9758581955411245E-2"/>
          <c:w val="0.88709740538393689"/>
          <c:h val="0.68951503776930667"/>
        </c:manualLayout>
      </c:layout>
      <c:lineChart>
        <c:grouping val="standard"/>
        <c:varyColors val="0"/>
        <c:ser>
          <c:idx val="3"/>
          <c:order val="0"/>
          <c:tx>
            <c:v>Value</c:v>
          </c:tx>
          <c:spPr>
            <a:ln w="38100" cap="rnd" cmpd="sng" algn="ctr">
              <a:solidFill>
                <a:srgbClr val="0070C0"/>
              </a:solidFill>
              <a:prstDash val="solid"/>
              <a:round/>
              <a:headEnd type="none" w="med" len="med"/>
              <a:tailEnd type="none" w="med" len="med"/>
            </a:ln>
          </c:spPr>
          <c:marker>
            <c:symbol val="circle"/>
            <c:size val="3"/>
            <c:spPr>
              <a:solidFill>
                <a:srgbClr val="0070C0"/>
              </a:solidFill>
              <a:ln w="38100" cap="rnd" cmpd="sng" algn="ctr">
                <a:solidFill>
                  <a:srgbClr val="0070C0"/>
                </a:solidFill>
                <a:prstDash val="solid"/>
                <a:round/>
                <a:headEnd type="none" w="med" len="med"/>
                <a:tailEnd type="none" w="med" len="med"/>
              </a:ln>
            </c:spPr>
          </c:marker>
          <c:cat>
            <c:numRef>
              <c:f>SPC!Date</c:f>
              <c:numCache>
                <c:formatCode>mmm\ yyyy</c:formatCode>
                <c:ptCount val="3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numCache>
            </c:numRef>
          </c:cat>
          <c:val>
            <c:numRef>
              <c:f>SPC!Value</c:f>
              <c:numCache>
                <c:formatCode>0.000</c:formatCode>
                <c:ptCount val="35"/>
                <c:pt idx="0">
                  <c:v>0.91800000000000004</c:v>
                </c:pt>
                <c:pt idx="1">
                  <c:v>0.93500000000000005</c:v>
                </c:pt>
                <c:pt idx="2">
                  <c:v>0.94200000000000006</c:v>
                </c:pt>
                <c:pt idx="3">
                  <c:v>0.94</c:v>
                </c:pt>
                <c:pt idx="4">
                  <c:v>0.94099999999999995</c:v>
                </c:pt>
                <c:pt idx="5">
                  <c:v>0.92200000000000004</c:v>
                </c:pt>
                <c:pt idx="6">
                  <c:v>0.85199999999999998</c:v>
                </c:pt>
                <c:pt idx="7">
                  <c:v>0.85099999999999998</c:v>
                </c:pt>
                <c:pt idx="8">
                  <c:v>0.85099999999999998</c:v>
                </c:pt>
                <c:pt idx="9">
                  <c:v>0.84900000000000009</c:v>
                </c:pt>
                <c:pt idx="10">
                  <c:v>0.84499999999999997</c:v>
                </c:pt>
                <c:pt idx="11">
                  <c:v>0.84599999999999997</c:v>
                </c:pt>
                <c:pt idx="12">
                  <c:v>0.69400000000000006</c:v>
                </c:pt>
                <c:pt idx="13">
                  <c:v>0.82</c:v>
                </c:pt>
                <c:pt idx="14">
                  <c:v>0.82</c:v>
                </c:pt>
                <c:pt idx="15">
                  <c:v>0.83400000000000007</c:v>
                </c:pt>
                <c:pt idx="16">
                  <c:v>0.85</c:v>
                </c:pt>
                <c:pt idx="17">
                  <c:v>0.82099999999999995</c:v>
                </c:pt>
                <c:pt idx="18">
                  <c:v>0.82</c:v>
                </c:pt>
                <c:pt idx="19">
                  <c:v>0.82</c:v>
                </c:pt>
                <c:pt idx="20">
                  <c:v>0.81900000000000006</c:v>
                </c:pt>
                <c:pt idx="21">
                  <c:v>0.87599999999999989</c:v>
                </c:pt>
                <c:pt idx="22">
                  <c:v>0.86299999999999999</c:v>
                </c:pt>
                <c:pt idx="23">
                  <c:v>0.87</c:v>
                </c:pt>
                <c:pt idx="24">
                  <c:v>0.877</c:v>
                </c:pt>
                <c:pt idx="25">
                  <c:v>0.88200000000000001</c:v>
                </c:pt>
                <c:pt idx="26">
                  <c:v>0.88099999999999989</c:v>
                </c:pt>
                <c:pt idx="27">
                  <c:v>0.89</c:v>
                </c:pt>
                <c:pt idx="28">
                  <c:v>0.90700000000000003</c:v>
                </c:pt>
                <c:pt idx="29">
                  <c:v>0.89800000000000002</c:v>
                </c:pt>
                <c:pt idx="30">
                  <c:v>0.89800000000000002</c:v>
                </c:pt>
                <c:pt idx="31">
                  <c:v>0.91400000000000003</c:v>
                </c:pt>
                <c:pt idx="32">
                  <c:v>0.91500000000000004</c:v>
                </c:pt>
                <c:pt idx="33">
                  <c:v>0.91500000000000004</c:v>
                </c:pt>
                <c:pt idx="34">
                  <c:v>0.91500000000000004</c:v>
                </c:pt>
              </c:numCache>
            </c:numRef>
          </c:val>
          <c:smooth val="0"/>
          <c:extLst>
            <c:ext xmlns:c16="http://schemas.microsoft.com/office/drawing/2014/chart" uri="{C3380CC4-5D6E-409C-BE32-E72D297353CC}">
              <c16:uniqueId val="{00000000-B5FD-4D13-99CD-304D2E2E733A}"/>
            </c:ext>
          </c:extLst>
        </c:ser>
        <c:ser>
          <c:idx val="5"/>
          <c:order val="1"/>
          <c:tx>
            <c:v>Mean</c:v>
          </c:tx>
          <c:spPr>
            <a:ln w="28575" cap="rnd" cmpd="sng" algn="ctr">
              <a:solidFill>
                <a:srgbClr val="FF0000"/>
              </a:solidFill>
              <a:prstDash val="solid"/>
              <a:round/>
              <a:headEnd type="none" w="med" len="med"/>
              <a:tailEnd type="none" w="med" len="med"/>
            </a:ln>
          </c:spPr>
          <c:marker>
            <c:symbol val="none"/>
          </c:marker>
          <c:cat>
            <c:numRef>
              <c:f>SPC!Date</c:f>
              <c:numCache>
                <c:formatCode>mmm\ yyyy</c:formatCode>
                <c:ptCount val="3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numCache>
            </c:numRef>
          </c:cat>
          <c:val>
            <c:numRef>
              <c:f>SPC!Mean</c:f>
              <c:numCache>
                <c:formatCode>0.000</c:formatCode>
                <c:ptCount val="35"/>
                <c:pt idx="0">
                  <c:v>0.85778260869565226</c:v>
                </c:pt>
                <c:pt idx="1">
                  <c:v>0.85778260869565226</c:v>
                </c:pt>
                <c:pt idx="2">
                  <c:v>0.85778260869565226</c:v>
                </c:pt>
                <c:pt idx="3">
                  <c:v>0.85778260869565226</c:v>
                </c:pt>
                <c:pt idx="4">
                  <c:v>0.85778260869565226</c:v>
                </c:pt>
                <c:pt idx="5">
                  <c:v>0.85778260869565226</c:v>
                </c:pt>
                <c:pt idx="6">
                  <c:v>0.85778260869565226</c:v>
                </c:pt>
                <c:pt idx="7">
                  <c:v>0.85778260869565226</c:v>
                </c:pt>
                <c:pt idx="8">
                  <c:v>0.85778260869565226</c:v>
                </c:pt>
                <c:pt idx="9">
                  <c:v>0.85778260869565226</c:v>
                </c:pt>
                <c:pt idx="10">
                  <c:v>0.85778260869565226</c:v>
                </c:pt>
                <c:pt idx="11">
                  <c:v>0.85778260869565226</c:v>
                </c:pt>
                <c:pt idx="12">
                  <c:v>0.85778260869565226</c:v>
                </c:pt>
                <c:pt idx="13">
                  <c:v>0.85778260869565226</c:v>
                </c:pt>
                <c:pt idx="14">
                  <c:v>0.85778260869565226</c:v>
                </c:pt>
                <c:pt idx="15">
                  <c:v>0.85778260869565226</c:v>
                </c:pt>
                <c:pt idx="16">
                  <c:v>0.85778260869565226</c:v>
                </c:pt>
                <c:pt idx="17">
                  <c:v>0.85778260869565226</c:v>
                </c:pt>
                <c:pt idx="18">
                  <c:v>0.85778260869565226</c:v>
                </c:pt>
                <c:pt idx="19">
                  <c:v>0.85778260869565226</c:v>
                </c:pt>
                <c:pt idx="20">
                  <c:v>0.85778260869565226</c:v>
                </c:pt>
                <c:pt idx="21">
                  <c:v>0.85778260869565226</c:v>
                </c:pt>
                <c:pt idx="22">
                  <c:v>0.85778260869565226</c:v>
                </c:pt>
                <c:pt idx="23">
                  <c:v>0.89683333333333304</c:v>
                </c:pt>
                <c:pt idx="24">
                  <c:v>0.89683333333333304</c:v>
                </c:pt>
                <c:pt idx="25">
                  <c:v>0.89683333333333304</c:v>
                </c:pt>
                <c:pt idx="26">
                  <c:v>0.89683333333333304</c:v>
                </c:pt>
                <c:pt idx="27">
                  <c:v>0.89683333333333304</c:v>
                </c:pt>
                <c:pt idx="28">
                  <c:v>0.89683333333333304</c:v>
                </c:pt>
                <c:pt idx="29">
                  <c:v>0.89683333333333304</c:v>
                </c:pt>
                <c:pt idx="30">
                  <c:v>0.89683333333333304</c:v>
                </c:pt>
                <c:pt idx="31">
                  <c:v>0.89683333333333304</c:v>
                </c:pt>
                <c:pt idx="32">
                  <c:v>0.89683333333333304</c:v>
                </c:pt>
                <c:pt idx="33">
                  <c:v>0.89683333333333304</c:v>
                </c:pt>
                <c:pt idx="34">
                  <c:v>0.89683333333333304</c:v>
                </c:pt>
              </c:numCache>
            </c:numRef>
          </c:val>
          <c:smooth val="0"/>
          <c:extLst>
            <c:ext xmlns:c16="http://schemas.microsoft.com/office/drawing/2014/chart" uri="{C3380CC4-5D6E-409C-BE32-E72D297353CC}">
              <c16:uniqueId val="{00000001-B5FD-4D13-99CD-304D2E2E733A}"/>
            </c:ext>
          </c:extLst>
        </c:ser>
        <c:ser>
          <c:idx val="6"/>
          <c:order val="2"/>
          <c:tx>
            <c:v>Upper and lower control limits</c:v>
          </c:tx>
          <c:spPr>
            <a:ln w="19050" cap="rnd" cmpd="sng" algn="ctr">
              <a:solidFill>
                <a:srgbClr val="00B050"/>
              </a:solidFill>
              <a:prstDash val="solid"/>
              <a:round/>
              <a:headEnd type="none" w="med" len="med"/>
              <a:tailEnd type="none" w="med" len="med"/>
            </a:ln>
          </c:spPr>
          <c:marker>
            <c:symbol val="none"/>
          </c:marker>
          <c:cat>
            <c:numRef>
              <c:f>SPC!Date</c:f>
              <c:numCache>
                <c:formatCode>mmm\ yyyy</c:formatCode>
                <c:ptCount val="3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numCache>
            </c:numRef>
          </c:cat>
          <c:val>
            <c:numRef>
              <c:f>SPC!UCL</c:f>
              <c:numCache>
                <c:formatCode>0.000</c:formatCode>
                <c:ptCount val="35"/>
                <c:pt idx="0">
                  <c:v>0.92221684467244136</c:v>
                </c:pt>
                <c:pt idx="1">
                  <c:v>0.92221684467244136</c:v>
                </c:pt>
                <c:pt idx="2">
                  <c:v>0.92221684467244136</c:v>
                </c:pt>
                <c:pt idx="3">
                  <c:v>0.92221684467244136</c:v>
                </c:pt>
                <c:pt idx="4">
                  <c:v>0.92221684467244136</c:v>
                </c:pt>
                <c:pt idx="5">
                  <c:v>0.92221684467244136</c:v>
                </c:pt>
                <c:pt idx="6">
                  <c:v>0.92221684467244136</c:v>
                </c:pt>
                <c:pt idx="7">
                  <c:v>0.92221684467244136</c:v>
                </c:pt>
                <c:pt idx="8">
                  <c:v>0.92221684467244136</c:v>
                </c:pt>
                <c:pt idx="9">
                  <c:v>0.92221684467244136</c:v>
                </c:pt>
                <c:pt idx="10">
                  <c:v>0.92221684467244136</c:v>
                </c:pt>
                <c:pt idx="11">
                  <c:v>0.92221684467244136</c:v>
                </c:pt>
                <c:pt idx="12">
                  <c:v>0.92221684467244136</c:v>
                </c:pt>
                <c:pt idx="13">
                  <c:v>0.92221684467244136</c:v>
                </c:pt>
                <c:pt idx="14">
                  <c:v>0.92221684467244136</c:v>
                </c:pt>
                <c:pt idx="15">
                  <c:v>0.92221684467244136</c:v>
                </c:pt>
                <c:pt idx="16">
                  <c:v>0.92221684467244136</c:v>
                </c:pt>
                <c:pt idx="17">
                  <c:v>0.92221684467244136</c:v>
                </c:pt>
                <c:pt idx="18">
                  <c:v>0.92221684467244136</c:v>
                </c:pt>
                <c:pt idx="19">
                  <c:v>0.92221684467244136</c:v>
                </c:pt>
                <c:pt idx="20">
                  <c:v>0.92221684467244136</c:v>
                </c:pt>
                <c:pt idx="21">
                  <c:v>0.92221684467244136</c:v>
                </c:pt>
                <c:pt idx="22">
                  <c:v>0.92221684467244136</c:v>
                </c:pt>
                <c:pt idx="23">
                  <c:v>0.91279078014184378</c:v>
                </c:pt>
                <c:pt idx="24">
                  <c:v>0.91279078014184378</c:v>
                </c:pt>
                <c:pt idx="25">
                  <c:v>0.91279078014184378</c:v>
                </c:pt>
                <c:pt idx="26">
                  <c:v>0.91279078014184378</c:v>
                </c:pt>
                <c:pt idx="27">
                  <c:v>0.91279078014184378</c:v>
                </c:pt>
                <c:pt idx="28">
                  <c:v>0.91279078014184378</c:v>
                </c:pt>
                <c:pt idx="29">
                  <c:v>0.91279078014184378</c:v>
                </c:pt>
                <c:pt idx="30">
                  <c:v>0.91279078014184378</c:v>
                </c:pt>
                <c:pt idx="31">
                  <c:v>0.91279078014184378</c:v>
                </c:pt>
                <c:pt idx="32">
                  <c:v>0.91279078014184378</c:v>
                </c:pt>
                <c:pt idx="33">
                  <c:v>0.91279078014184378</c:v>
                </c:pt>
                <c:pt idx="34">
                  <c:v>0.91279078014184378</c:v>
                </c:pt>
              </c:numCache>
            </c:numRef>
          </c:val>
          <c:smooth val="0"/>
          <c:extLst>
            <c:ext xmlns:c16="http://schemas.microsoft.com/office/drawing/2014/chart" uri="{C3380CC4-5D6E-409C-BE32-E72D297353CC}">
              <c16:uniqueId val="{00000002-B5FD-4D13-99CD-304D2E2E733A}"/>
            </c:ext>
          </c:extLst>
        </c:ser>
        <c:ser>
          <c:idx val="0"/>
          <c:order val="3"/>
          <c:spPr>
            <a:ln w="19050">
              <a:solidFill>
                <a:srgbClr val="00B050"/>
              </a:solidFill>
            </a:ln>
          </c:spPr>
          <c:marker>
            <c:symbol val="none"/>
          </c:marker>
          <c:cat>
            <c:numRef>
              <c:f>SPC!Date</c:f>
              <c:numCache>
                <c:formatCode>mmm\ yyyy</c:formatCode>
                <c:ptCount val="35"/>
                <c:pt idx="0">
                  <c:v>43374</c:v>
                </c:pt>
                <c:pt idx="1">
                  <c:v>43405</c:v>
                </c:pt>
                <c:pt idx="2">
                  <c:v>43435</c:v>
                </c:pt>
                <c:pt idx="3">
                  <c:v>43466</c:v>
                </c:pt>
                <c:pt idx="4">
                  <c:v>43497</c:v>
                </c:pt>
                <c:pt idx="5">
                  <c:v>43525</c:v>
                </c:pt>
                <c:pt idx="6">
                  <c:v>43556</c:v>
                </c:pt>
                <c:pt idx="7">
                  <c:v>43586</c:v>
                </c:pt>
                <c:pt idx="8">
                  <c:v>43617</c:v>
                </c:pt>
                <c:pt idx="9">
                  <c:v>43647</c:v>
                </c:pt>
                <c:pt idx="10">
                  <c:v>43678</c:v>
                </c:pt>
                <c:pt idx="11">
                  <c:v>43709</c:v>
                </c:pt>
                <c:pt idx="12">
                  <c:v>43739</c:v>
                </c:pt>
                <c:pt idx="13">
                  <c:v>43770</c:v>
                </c:pt>
                <c:pt idx="14">
                  <c:v>43800</c:v>
                </c:pt>
                <c:pt idx="15">
                  <c:v>43831</c:v>
                </c:pt>
                <c:pt idx="16">
                  <c:v>43862</c:v>
                </c:pt>
                <c:pt idx="17">
                  <c:v>43891</c:v>
                </c:pt>
                <c:pt idx="18">
                  <c:v>43922</c:v>
                </c:pt>
                <c:pt idx="19">
                  <c:v>43952</c:v>
                </c:pt>
                <c:pt idx="20">
                  <c:v>43983</c:v>
                </c:pt>
                <c:pt idx="21">
                  <c:v>44013</c:v>
                </c:pt>
                <c:pt idx="22">
                  <c:v>44044</c:v>
                </c:pt>
                <c:pt idx="23">
                  <c:v>44075</c:v>
                </c:pt>
                <c:pt idx="24">
                  <c:v>44105</c:v>
                </c:pt>
                <c:pt idx="25">
                  <c:v>44136</c:v>
                </c:pt>
                <c:pt idx="26">
                  <c:v>44166</c:v>
                </c:pt>
                <c:pt idx="27">
                  <c:v>44197</c:v>
                </c:pt>
                <c:pt idx="28">
                  <c:v>44228</c:v>
                </c:pt>
                <c:pt idx="29">
                  <c:v>44256</c:v>
                </c:pt>
                <c:pt idx="30">
                  <c:v>44287</c:v>
                </c:pt>
                <c:pt idx="31">
                  <c:v>44317</c:v>
                </c:pt>
                <c:pt idx="32">
                  <c:v>44348</c:v>
                </c:pt>
                <c:pt idx="33">
                  <c:v>44378</c:v>
                </c:pt>
                <c:pt idx="34">
                  <c:v>44409</c:v>
                </c:pt>
              </c:numCache>
            </c:numRef>
          </c:cat>
          <c:val>
            <c:numRef>
              <c:f>SPC!LCL</c:f>
              <c:numCache>
                <c:formatCode>0.000</c:formatCode>
                <c:ptCount val="35"/>
                <c:pt idx="0">
                  <c:v>0.79334837271886316</c:v>
                </c:pt>
                <c:pt idx="1">
                  <c:v>0.79334837271886316</c:v>
                </c:pt>
                <c:pt idx="2">
                  <c:v>0.79334837271886316</c:v>
                </c:pt>
                <c:pt idx="3">
                  <c:v>0.79334837271886316</c:v>
                </c:pt>
                <c:pt idx="4">
                  <c:v>0.79334837271886316</c:v>
                </c:pt>
                <c:pt idx="5">
                  <c:v>0.79334837271886316</c:v>
                </c:pt>
                <c:pt idx="6">
                  <c:v>0.79334837271886316</c:v>
                </c:pt>
                <c:pt idx="7">
                  <c:v>0.79334837271886316</c:v>
                </c:pt>
                <c:pt idx="8">
                  <c:v>0.79334837271886316</c:v>
                </c:pt>
                <c:pt idx="9">
                  <c:v>0.79334837271886316</c:v>
                </c:pt>
                <c:pt idx="10">
                  <c:v>0.79334837271886316</c:v>
                </c:pt>
                <c:pt idx="11">
                  <c:v>0.79334837271886316</c:v>
                </c:pt>
                <c:pt idx="12">
                  <c:v>0.79334837271886316</c:v>
                </c:pt>
                <c:pt idx="13">
                  <c:v>0.79334837271886316</c:v>
                </c:pt>
                <c:pt idx="14">
                  <c:v>0.79334837271886316</c:v>
                </c:pt>
                <c:pt idx="15">
                  <c:v>0.79334837271886316</c:v>
                </c:pt>
                <c:pt idx="16">
                  <c:v>0.79334837271886316</c:v>
                </c:pt>
                <c:pt idx="17">
                  <c:v>0.79334837271886316</c:v>
                </c:pt>
                <c:pt idx="18">
                  <c:v>0.79334837271886316</c:v>
                </c:pt>
                <c:pt idx="19">
                  <c:v>0.79334837271886316</c:v>
                </c:pt>
                <c:pt idx="20">
                  <c:v>0.79334837271886316</c:v>
                </c:pt>
                <c:pt idx="21">
                  <c:v>0.79334837271886316</c:v>
                </c:pt>
                <c:pt idx="22">
                  <c:v>0.79334837271886316</c:v>
                </c:pt>
                <c:pt idx="23">
                  <c:v>0.88087588652482229</c:v>
                </c:pt>
                <c:pt idx="24">
                  <c:v>0.88087588652482229</c:v>
                </c:pt>
                <c:pt idx="25">
                  <c:v>0.88087588652482229</c:v>
                </c:pt>
                <c:pt idx="26">
                  <c:v>0.88087588652482229</c:v>
                </c:pt>
                <c:pt idx="27">
                  <c:v>0.88087588652482229</c:v>
                </c:pt>
                <c:pt idx="28">
                  <c:v>0.88087588652482229</c:v>
                </c:pt>
                <c:pt idx="29">
                  <c:v>0.88087588652482229</c:v>
                </c:pt>
                <c:pt idx="30">
                  <c:v>0.88087588652482229</c:v>
                </c:pt>
                <c:pt idx="31">
                  <c:v>0.88087588652482229</c:v>
                </c:pt>
                <c:pt idx="32">
                  <c:v>0.88087588652482229</c:v>
                </c:pt>
                <c:pt idx="33">
                  <c:v>0.88087588652482229</c:v>
                </c:pt>
                <c:pt idx="34">
                  <c:v>0.88087588652482229</c:v>
                </c:pt>
              </c:numCache>
            </c:numRef>
          </c:val>
          <c:smooth val="0"/>
          <c:extLst>
            <c:ext xmlns:c16="http://schemas.microsoft.com/office/drawing/2014/chart" uri="{C3380CC4-5D6E-409C-BE32-E72D297353CC}">
              <c16:uniqueId val="{00000003-B5FD-4D13-99CD-304D2E2E733A}"/>
            </c:ext>
          </c:extLst>
        </c:ser>
        <c:dLbls>
          <c:showLegendKey val="0"/>
          <c:showVal val="0"/>
          <c:showCatName val="0"/>
          <c:showSerName val="0"/>
          <c:showPercent val="0"/>
          <c:showBubbleSize val="0"/>
        </c:dLbls>
        <c:marker val="1"/>
        <c:smooth val="0"/>
        <c:axId val="236971136"/>
        <c:axId val="236972672"/>
      </c:lineChart>
      <c:dateAx>
        <c:axId val="236971136"/>
        <c:scaling>
          <c:orientation val="minMax"/>
        </c:scaling>
        <c:delete val="0"/>
        <c:axPos val="b"/>
        <c:numFmt formatCode="mmm\ yyyy" sourceLinked="1"/>
        <c:majorTickMark val="none"/>
        <c:minorTickMark val="none"/>
        <c:tickLblPos val="nextTo"/>
        <c:txPr>
          <a:bodyPr rot="0" vert="horz"/>
          <a:lstStyle/>
          <a:p>
            <a:pPr>
              <a:defRPr sz="1100"/>
            </a:pPr>
            <a:endParaRPr lang="en-US"/>
          </a:p>
        </c:txPr>
        <c:crossAx val="236972672"/>
        <c:crosses val="autoZero"/>
        <c:auto val="1"/>
        <c:lblOffset val="0"/>
        <c:baseTimeUnit val="months"/>
      </c:dateAx>
      <c:valAx>
        <c:axId val="236972672"/>
        <c:scaling>
          <c:orientation val="minMax"/>
          <c:max val="1"/>
          <c:min val="0.60000000000000009"/>
        </c:scaling>
        <c:delete val="0"/>
        <c:axPos val="l"/>
        <c:title>
          <c:tx>
            <c:rich>
              <a:bodyPr rot="-5400000" vert="horz"/>
              <a:lstStyle/>
              <a:p>
                <a:pPr>
                  <a:defRPr/>
                </a:pPr>
                <a:r>
                  <a:rPr lang="en-US"/>
                  <a:t>CSDS DQMI Score (%)</a:t>
                </a:r>
              </a:p>
            </c:rich>
          </c:tx>
          <c:layout>
            <c:manualLayout>
              <c:xMode val="edge"/>
              <c:yMode val="edge"/>
              <c:x val="3.6680246883921876E-3"/>
              <c:y val="0.17803662765313269"/>
            </c:manualLayout>
          </c:layout>
          <c:overlay val="0"/>
        </c:title>
        <c:numFmt formatCode="0%" sourceLinked="0"/>
        <c:majorTickMark val="none"/>
        <c:minorTickMark val="none"/>
        <c:tickLblPos val="nextTo"/>
        <c:crossAx val="236971136"/>
        <c:crosses val="autoZero"/>
        <c:crossBetween val="midCat"/>
        <c:minorUnit val="0.1"/>
      </c:valAx>
      <c:spPr>
        <a:noFill/>
        <a:ln>
          <a:noFill/>
        </a:ln>
      </c:spPr>
    </c:plotArea>
    <c:legend>
      <c:legendPos val="b"/>
      <c:legendEntry>
        <c:idx val="3"/>
        <c:delete val="1"/>
      </c:legendEntry>
      <c:layout>
        <c:manualLayout>
          <c:xMode val="edge"/>
          <c:yMode val="edge"/>
          <c:x val="0.10503047423362213"/>
          <c:y val="0.90663080746007607"/>
          <c:w val="0.84462397599348793"/>
          <c:h val="9.2835526431679263E-2"/>
        </c:manualLayout>
      </c:layout>
      <c:overlay val="0"/>
      <c:spPr>
        <a:ln w="3175"/>
      </c:sp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533981454564067"/>
          <c:y val="5.7356514850444289E-2"/>
          <c:w val="0.81516786217540405"/>
          <c:h val="0.63951272950827442"/>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3B43-4EB3-9624-94777C277AA1}"/>
            </c:ext>
          </c:extLst>
        </c:ser>
        <c:ser>
          <c:idx val="1"/>
          <c:order val="1"/>
          <c:tx>
            <c:strRef>
              <c:f>'DQMI Data'!$C$1:$F$1</c:f>
              <c:strCache>
                <c:ptCount val="1"/>
                <c:pt idx="0">
                  <c:v>Ethnic Category</c:v>
                </c:pt>
              </c:strCache>
            </c:strRef>
          </c:tx>
          <c:spPr>
            <a:ln>
              <a:solidFill>
                <a:schemeClr val="accent2">
                  <a:lumMod val="60000"/>
                  <a:lumOff val="40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Data'!$C$3:$C$38</c:f>
              <c:numCache>
                <c:formatCode>0.0%</c:formatCode>
                <c:ptCount val="36"/>
                <c:pt idx="1">
                  <c:v>0.62276908083084603</c:v>
                </c:pt>
                <c:pt idx="2">
                  <c:v>0.62927681641395639</c:v>
                </c:pt>
                <c:pt idx="3">
                  <c:v>0.6294679810369479</c:v>
                </c:pt>
                <c:pt idx="4">
                  <c:v>0.61872176454956151</c:v>
                </c:pt>
                <c:pt idx="5">
                  <c:v>0.61953931691818909</c:v>
                </c:pt>
                <c:pt idx="6">
                  <c:v>0.62465930282599336</c:v>
                </c:pt>
                <c:pt idx="7">
                  <c:v>0.62099341179954104</c:v>
                </c:pt>
                <c:pt idx="8">
                  <c:v>0.61927795303189626</c:v>
                </c:pt>
                <c:pt idx="9">
                  <c:v>0.62252338513662808</c:v>
                </c:pt>
                <c:pt idx="10">
                  <c:v>0.61274826127482618</c:v>
                </c:pt>
                <c:pt idx="11">
                  <c:v>0.6054090374601041</c:v>
                </c:pt>
                <c:pt idx="12">
                  <c:v>0.61769719510305288</c:v>
                </c:pt>
                <c:pt idx="13">
                  <c:v>0.67294395412895613</c:v>
                </c:pt>
                <c:pt idx="14">
                  <c:v>0.68741925867037668</c:v>
                </c:pt>
                <c:pt idx="15">
                  <c:v>0.69038461538461537</c:v>
                </c:pt>
                <c:pt idx="16">
                  <c:v>0.6878545454545455</c:v>
                </c:pt>
                <c:pt idx="17">
                  <c:v>0.68843069873997709</c:v>
                </c:pt>
                <c:pt idx="18">
                  <c:v>0.6805101373446697</c:v>
                </c:pt>
                <c:pt idx="19">
                  <c:v>0.6706243772832946</c:v>
                </c:pt>
                <c:pt idx="20">
                  <c:v>0.6621201657458563</c:v>
                </c:pt>
                <c:pt idx="21">
                  <c:v>0.99630912925579995</c:v>
                </c:pt>
                <c:pt idx="22">
                  <c:v>0.99660919125604208</c:v>
                </c:pt>
                <c:pt idx="23">
                  <c:v>0.7016915257061912</c:v>
                </c:pt>
                <c:pt idx="24">
                  <c:v>0.68359590934217795</c:v>
                </c:pt>
                <c:pt idx="25">
                  <c:v>0.77041705779804215</c:v>
                </c:pt>
                <c:pt idx="26">
                  <c:v>0.76817085773337923</c:v>
                </c:pt>
                <c:pt idx="27">
                  <c:v>0.78175685373905557</c:v>
                </c:pt>
                <c:pt idx="28">
                  <c:v>0.78594322344322343</c:v>
                </c:pt>
                <c:pt idx="29">
                  <c:v>1</c:v>
                </c:pt>
                <c:pt idx="30">
                  <c:v>0.82870270658338718</c:v>
                </c:pt>
                <c:pt idx="31">
                  <c:v>0.82038070702733645</c:v>
                </c:pt>
                <c:pt idx="32">
                  <c:v>0.83836267113718921</c:v>
                </c:pt>
                <c:pt idx="33">
                  <c:v>0.84177175083961731</c:v>
                </c:pt>
                <c:pt idx="34">
                  <c:v>0.8409633757961783</c:v>
                </c:pt>
                <c:pt idx="35">
                  <c:v>0.84478903714388753</c:v>
                </c:pt>
              </c:numCache>
            </c:numRef>
          </c:val>
          <c:smooth val="0"/>
          <c:extLst>
            <c:ext xmlns:c16="http://schemas.microsoft.com/office/drawing/2014/chart" uri="{C3380CC4-5D6E-409C-BE32-E72D297353CC}">
              <c16:uniqueId val="{00000001-3B43-4EB3-9624-94777C277AA1}"/>
            </c:ext>
          </c:extLst>
        </c:ser>
        <c:dLbls>
          <c:showLegendKey val="0"/>
          <c:showVal val="0"/>
          <c:showCatName val="0"/>
          <c:showSerName val="0"/>
          <c:showPercent val="0"/>
          <c:showBubbleSize val="0"/>
        </c:dLbls>
        <c:smooth val="0"/>
        <c:axId val="242708864"/>
        <c:axId val="242710400"/>
      </c:lineChart>
      <c:dateAx>
        <c:axId val="242708864"/>
        <c:scaling>
          <c:orientation val="minMax"/>
        </c:scaling>
        <c:delete val="0"/>
        <c:axPos val="b"/>
        <c:numFmt formatCode="mmm\ yyyy" sourceLinked="1"/>
        <c:majorTickMark val="out"/>
        <c:minorTickMark val="none"/>
        <c:tickLblPos val="nextTo"/>
        <c:txPr>
          <a:bodyPr rot="0" vert="horz"/>
          <a:lstStyle/>
          <a:p>
            <a:pPr>
              <a:defRPr/>
            </a:pPr>
            <a:endParaRPr lang="en-US"/>
          </a:p>
        </c:txPr>
        <c:crossAx val="242710400"/>
        <c:crosses val="autoZero"/>
        <c:auto val="1"/>
        <c:lblOffset val="100"/>
        <c:baseTimeUnit val="months"/>
      </c:dateAx>
      <c:valAx>
        <c:axId val="242710400"/>
        <c:scaling>
          <c:orientation val="minMax"/>
          <c:max val="1.01"/>
          <c:min val="0.5"/>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2708864"/>
        <c:crosses val="autoZero"/>
        <c:crossBetween val="midCat"/>
      </c:valAx>
    </c:plotArea>
    <c:legend>
      <c:legendPos val="b"/>
      <c:layout>
        <c:manualLayout>
          <c:xMode val="edge"/>
          <c:yMode val="edge"/>
          <c:x val="3.8565659941105057E-2"/>
          <c:y val="0.87274644393920298"/>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793632009070866"/>
          <c:y val="5.6673064180362942E-2"/>
          <c:w val="0.81273939883370439"/>
          <c:h val="0.64019627668313894"/>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A178-4F37-8E8F-DAFF83D543B4}"/>
            </c:ext>
          </c:extLst>
        </c:ser>
        <c:ser>
          <c:idx val="2"/>
          <c:order val="1"/>
          <c:tx>
            <c:v>General Medical Practice Code</c:v>
          </c:tx>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Data'!$G$3:$G$38</c:f>
              <c:numCache>
                <c:formatCode>0.0%</c:formatCode>
                <c:ptCount val="36"/>
                <c:pt idx="1">
                  <c:v>0.99768532618627037</c:v>
                </c:pt>
                <c:pt idx="2">
                  <c:v>0.99977453356631529</c:v>
                </c:pt>
                <c:pt idx="3">
                  <c:v>0.99969899917224769</c:v>
                </c:pt>
                <c:pt idx="4">
                  <c:v>0.99946850916821683</c:v>
                </c:pt>
                <c:pt idx="5">
                  <c:v>0.99537872770597158</c:v>
                </c:pt>
                <c:pt idx="6">
                  <c:v>0.9859765794419546</c:v>
                </c:pt>
                <c:pt idx="7">
                  <c:v>0.95284625064771633</c:v>
                </c:pt>
                <c:pt idx="8">
                  <c:v>0.9413249211356467</c:v>
                </c:pt>
                <c:pt idx="9">
                  <c:v>0.92958680120792514</c:v>
                </c:pt>
                <c:pt idx="10">
                  <c:v>0.9108768910876891</c:v>
                </c:pt>
                <c:pt idx="11">
                  <c:v>0.88997144296993114</c:v>
                </c:pt>
                <c:pt idx="12">
                  <c:v>0.88392995505966221</c:v>
                </c:pt>
                <c:pt idx="13">
                  <c:v>0.9998875709708247</c:v>
                </c:pt>
                <c:pt idx="14">
                  <c:v>0.99990062605584817</c:v>
                </c:pt>
                <c:pt idx="15">
                  <c:v>0.9998197115384615</c:v>
                </c:pt>
                <c:pt idx="16">
                  <c:v>0.99985454545454544</c:v>
                </c:pt>
                <c:pt idx="17">
                  <c:v>0.99987272495863566</c:v>
                </c:pt>
                <c:pt idx="18">
                  <c:v>0.99993459777632443</c:v>
                </c:pt>
                <c:pt idx="19">
                  <c:v>0.9998339422118897</c:v>
                </c:pt>
                <c:pt idx="20">
                  <c:v>0.99982734806629836</c:v>
                </c:pt>
                <c:pt idx="21">
                  <c:v>0.99992467610726121</c:v>
                </c:pt>
                <c:pt idx="22">
                  <c:v>0.99985571026621456</c:v>
                </c:pt>
                <c:pt idx="23">
                  <c:v>0.99991667361053249</c:v>
                </c:pt>
                <c:pt idx="24">
                  <c:v>0.99993090105030402</c:v>
                </c:pt>
                <c:pt idx="25">
                  <c:v>0.99993294890706719</c:v>
                </c:pt>
                <c:pt idx="26">
                  <c:v>0.99993110575266964</c:v>
                </c:pt>
                <c:pt idx="27">
                  <c:v>0.99992823309889478</c:v>
                </c:pt>
                <c:pt idx="28">
                  <c:v>0.99992368742368742</c:v>
                </c:pt>
                <c:pt idx="29">
                  <c:v>1</c:v>
                </c:pt>
                <c:pt idx="30">
                  <c:v>1</c:v>
                </c:pt>
                <c:pt idx="31">
                  <c:v>0.99978531558608841</c:v>
                </c:pt>
                <c:pt idx="32">
                  <c:v>0.99986029617211514</c:v>
                </c:pt>
                <c:pt idx="33">
                  <c:v>0.99987326531905452</c:v>
                </c:pt>
                <c:pt idx="34">
                  <c:v>1</c:v>
                </c:pt>
                <c:pt idx="35">
                  <c:v>0.99992787594662824</c:v>
                </c:pt>
              </c:numCache>
            </c:numRef>
          </c:val>
          <c:smooth val="0"/>
          <c:extLst>
            <c:ext xmlns:c16="http://schemas.microsoft.com/office/drawing/2014/chart" uri="{C3380CC4-5D6E-409C-BE32-E72D297353CC}">
              <c16:uniqueId val="{00000001-A178-4F37-8E8F-DAFF83D543B4}"/>
            </c:ext>
          </c:extLst>
        </c:ser>
        <c:dLbls>
          <c:showLegendKey val="0"/>
          <c:showVal val="0"/>
          <c:showCatName val="0"/>
          <c:showSerName val="0"/>
          <c:showPercent val="0"/>
          <c:showBubbleSize val="0"/>
        </c:dLbls>
        <c:smooth val="0"/>
        <c:axId val="242739840"/>
        <c:axId val="242741632"/>
      </c:lineChart>
      <c:dateAx>
        <c:axId val="242739840"/>
        <c:scaling>
          <c:orientation val="minMax"/>
        </c:scaling>
        <c:delete val="0"/>
        <c:axPos val="b"/>
        <c:numFmt formatCode="mmm\ yyyy" sourceLinked="1"/>
        <c:majorTickMark val="out"/>
        <c:minorTickMark val="none"/>
        <c:tickLblPos val="nextTo"/>
        <c:txPr>
          <a:bodyPr rot="0" vert="horz"/>
          <a:lstStyle/>
          <a:p>
            <a:pPr>
              <a:defRPr/>
            </a:pPr>
            <a:endParaRPr lang="en-US"/>
          </a:p>
        </c:txPr>
        <c:crossAx val="242741632"/>
        <c:crosses val="autoZero"/>
        <c:auto val="1"/>
        <c:lblOffset val="100"/>
        <c:baseTimeUnit val="months"/>
      </c:dateAx>
      <c:valAx>
        <c:axId val="242741632"/>
        <c:scaling>
          <c:orientation val="minMax"/>
          <c:max val="1.01"/>
          <c:min val="0.70000000000000007"/>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2739840"/>
        <c:crosses val="autoZero"/>
        <c:crossBetween val="midCat"/>
      </c:valAx>
    </c:plotArea>
    <c:legend>
      <c:legendPos val="b"/>
      <c:layout>
        <c:manualLayout>
          <c:xMode val="edge"/>
          <c:yMode val="edge"/>
          <c:x val="3.4993919227513291E-2"/>
          <c:y val="0.872063116919227"/>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793632009070866"/>
          <c:y val="5.6673064180362942E-2"/>
          <c:w val="0.8127393988337045"/>
          <c:h val="0.61726633577738821"/>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A8A7-4CAC-BEF5-9DC5063430E5}"/>
            </c:ext>
          </c:extLst>
        </c:ser>
        <c:ser>
          <c:idx val="3"/>
          <c:order val="1"/>
          <c:tx>
            <c:strRef>
              <c:f>'DQMI Data'!$L$1:$O$1</c:f>
              <c:strCache>
                <c:ptCount val="1"/>
                <c:pt idx="0">
                  <c:v>NHS Number</c:v>
                </c:pt>
              </c:strCache>
            </c:strRef>
          </c:tx>
          <c:spPr>
            <a:ln>
              <a:solidFill>
                <a:schemeClr val="accent2">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Data'!$L$3:$L$38</c:f>
              <c:numCache>
                <c:formatCode>0.0%</c:formatCode>
                <c:ptCount val="36"/>
                <c:pt idx="1">
                  <c:v>0.99695437656088204</c:v>
                </c:pt>
                <c:pt idx="2">
                  <c:v>0.99678710331999321</c:v>
                </c:pt>
                <c:pt idx="3">
                  <c:v>0.99698999172247726</c:v>
                </c:pt>
                <c:pt idx="4">
                  <c:v>0.99714323677916561</c:v>
                </c:pt>
                <c:pt idx="5">
                  <c:v>0.99718391219582636</c:v>
                </c:pt>
                <c:pt idx="6">
                  <c:v>0.99734614832879065</c:v>
                </c:pt>
                <c:pt idx="7">
                  <c:v>0.99748315937523135</c:v>
                </c:pt>
                <c:pt idx="8">
                  <c:v>0.99768664563617249</c:v>
                </c:pt>
                <c:pt idx="9">
                  <c:v>0.99779038079104365</c:v>
                </c:pt>
                <c:pt idx="10">
                  <c:v>1.0031711711711713</c:v>
                </c:pt>
                <c:pt idx="11">
                  <c:v>0.99773223584747184</c:v>
                </c:pt>
                <c:pt idx="12">
                  <c:v>0.99767549976754999</c:v>
                </c:pt>
                <c:pt idx="13">
                  <c:v>1</c:v>
                </c:pt>
                <c:pt idx="14">
                  <c:v>0.99995031302792403</c:v>
                </c:pt>
                <c:pt idx="15">
                  <c:v>1</c:v>
                </c:pt>
                <c:pt idx="16">
                  <c:v>1</c:v>
                </c:pt>
                <c:pt idx="17">
                  <c:v>0.99993636247931783</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val>
          <c:smooth val="0"/>
          <c:extLst>
            <c:ext xmlns:c16="http://schemas.microsoft.com/office/drawing/2014/chart" uri="{C3380CC4-5D6E-409C-BE32-E72D297353CC}">
              <c16:uniqueId val="{00000001-A8A7-4CAC-BEF5-9DC5063430E5}"/>
            </c:ext>
          </c:extLst>
        </c:ser>
        <c:ser>
          <c:idx val="4"/>
          <c:order val="2"/>
          <c:tx>
            <c:strRef>
              <c:f>'DQMI Data'!$P$1:$S$1</c:f>
              <c:strCache>
                <c:ptCount val="1"/>
                <c:pt idx="0">
                  <c:v>Person Birth Date</c:v>
                </c:pt>
              </c:strCache>
            </c:strRef>
          </c:tx>
          <c:spPr>
            <a:ln>
              <a:solidFill>
                <a:schemeClr val="accent4"/>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Data'!$P$3:$P$38</c:f>
              <c:numCache>
                <c:formatCode>0.0%</c:formatCode>
                <c:ptCount val="36"/>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numCache>
            </c:numRef>
          </c:val>
          <c:smooth val="0"/>
          <c:extLst>
            <c:ext xmlns:c16="http://schemas.microsoft.com/office/drawing/2014/chart" uri="{C3380CC4-5D6E-409C-BE32-E72D297353CC}">
              <c16:uniqueId val="{00000002-A8A7-4CAC-BEF5-9DC5063430E5}"/>
            </c:ext>
          </c:extLst>
        </c:ser>
        <c:ser>
          <c:idx val="5"/>
          <c:order val="3"/>
          <c:tx>
            <c:strRef>
              <c:f>'DQMI Data'!$T$1:$W$1</c:f>
              <c:strCache>
                <c:ptCount val="1"/>
                <c:pt idx="0">
                  <c:v>Person Stated Gender Code</c:v>
                </c:pt>
              </c:strCache>
            </c:strRef>
          </c:tx>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Data'!$T$3:$T$38</c:f>
              <c:numCache>
                <c:formatCode>0.0%</c:formatCode>
                <c:ptCount val="36"/>
                <c:pt idx="1">
                  <c:v>0.99975635012487052</c:v>
                </c:pt>
                <c:pt idx="2">
                  <c:v>0.99971816695789417</c:v>
                </c:pt>
                <c:pt idx="3">
                  <c:v>0.9997742493791858</c:v>
                </c:pt>
                <c:pt idx="4">
                  <c:v>0.99980069093808133</c:v>
                </c:pt>
                <c:pt idx="5">
                  <c:v>0.9997833778612174</c:v>
                </c:pt>
                <c:pt idx="6">
                  <c:v>0.9997848228374695</c:v>
                </c:pt>
                <c:pt idx="7">
                  <c:v>0.99985195055148424</c:v>
                </c:pt>
                <c:pt idx="8">
                  <c:v>0.99985979670522263</c:v>
                </c:pt>
                <c:pt idx="9">
                  <c:v>0.99985269205273619</c:v>
                </c:pt>
                <c:pt idx="10">
                  <c:v>0.99985659998566001</c:v>
                </c:pt>
                <c:pt idx="11">
                  <c:v>0.99991600873509157</c:v>
                </c:pt>
                <c:pt idx="12">
                  <c:v>0.99992251665891829</c:v>
                </c:pt>
                <c:pt idx="13">
                  <c:v>0.9745910394063747</c:v>
                </c:pt>
                <c:pt idx="14">
                  <c:v>0.97684587101262044</c:v>
                </c:pt>
                <c:pt idx="15">
                  <c:v>0.97307692307692306</c:v>
                </c:pt>
                <c:pt idx="16">
                  <c:v>0.98655999999999999</c:v>
                </c:pt>
                <c:pt idx="17">
                  <c:v>1</c:v>
                </c:pt>
                <c:pt idx="18">
                  <c:v>0.99705689993459778</c:v>
                </c:pt>
                <c:pt idx="19">
                  <c:v>1</c:v>
                </c:pt>
                <c:pt idx="20">
                  <c:v>1</c:v>
                </c:pt>
                <c:pt idx="21">
                  <c:v>0.99992467610726121</c:v>
                </c:pt>
                <c:pt idx="22">
                  <c:v>0.99992785513310722</c:v>
                </c:pt>
                <c:pt idx="23">
                  <c:v>1</c:v>
                </c:pt>
                <c:pt idx="24">
                  <c:v>1</c:v>
                </c:pt>
                <c:pt idx="25">
                  <c:v>0.99993294890706719</c:v>
                </c:pt>
                <c:pt idx="26">
                  <c:v>0.99993110575266964</c:v>
                </c:pt>
                <c:pt idx="27">
                  <c:v>1</c:v>
                </c:pt>
                <c:pt idx="28">
                  <c:v>0.99992368742368742</c:v>
                </c:pt>
                <c:pt idx="29">
                  <c:v>1</c:v>
                </c:pt>
                <c:pt idx="30">
                  <c:v>0.99992820733721011</c:v>
                </c:pt>
                <c:pt idx="31">
                  <c:v>0.99992843852869617</c:v>
                </c:pt>
                <c:pt idx="32">
                  <c:v>0.99993014808605751</c:v>
                </c:pt>
                <c:pt idx="33">
                  <c:v>0.99987326531905452</c:v>
                </c:pt>
                <c:pt idx="34">
                  <c:v>0.99993365180467086</c:v>
                </c:pt>
                <c:pt idx="35">
                  <c:v>0.99992787594662824</c:v>
                </c:pt>
              </c:numCache>
            </c:numRef>
          </c:val>
          <c:smooth val="0"/>
          <c:extLst>
            <c:ext xmlns:c16="http://schemas.microsoft.com/office/drawing/2014/chart" uri="{C3380CC4-5D6E-409C-BE32-E72D297353CC}">
              <c16:uniqueId val="{00000003-A8A7-4CAC-BEF5-9DC5063430E5}"/>
            </c:ext>
          </c:extLst>
        </c:ser>
        <c:dLbls>
          <c:showLegendKey val="0"/>
          <c:showVal val="0"/>
          <c:showCatName val="0"/>
          <c:showSerName val="0"/>
          <c:showPercent val="0"/>
          <c:showBubbleSize val="0"/>
        </c:dLbls>
        <c:smooth val="0"/>
        <c:axId val="242838144"/>
        <c:axId val="242856320"/>
      </c:lineChart>
      <c:dateAx>
        <c:axId val="242838144"/>
        <c:scaling>
          <c:orientation val="minMax"/>
        </c:scaling>
        <c:delete val="0"/>
        <c:axPos val="b"/>
        <c:numFmt formatCode="mmm\ yyyy" sourceLinked="1"/>
        <c:majorTickMark val="out"/>
        <c:minorTickMark val="none"/>
        <c:tickLblPos val="nextTo"/>
        <c:txPr>
          <a:bodyPr rot="0" vert="horz"/>
          <a:lstStyle/>
          <a:p>
            <a:pPr>
              <a:defRPr/>
            </a:pPr>
            <a:endParaRPr lang="en-US"/>
          </a:p>
        </c:txPr>
        <c:crossAx val="242856320"/>
        <c:crosses val="autoZero"/>
        <c:auto val="1"/>
        <c:lblOffset val="100"/>
        <c:baseTimeUnit val="months"/>
      </c:dateAx>
      <c:valAx>
        <c:axId val="242856320"/>
        <c:scaling>
          <c:orientation val="minMax"/>
          <c:max val="1.01"/>
          <c:min val="0.70000000000000007"/>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2838144"/>
        <c:crosses val="autoZero"/>
        <c:crossBetween val="midCat"/>
      </c:valAx>
    </c:plotArea>
    <c:legend>
      <c:legendPos val="b"/>
      <c:layout>
        <c:manualLayout>
          <c:xMode val="edge"/>
          <c:yMode val="edge"/>
          <c:x val="4.1105973883719844E-2"/>
          <c:y val="0.872063116919227"/>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4099234741881195"/>
          <c:y val="6.8138034633238309E-2"/>
          <c:w val="0.80968337150560121"/>
          <c:h val="0.61726633577738821"/>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A3F9-4437-8ACA-A308535D2FC6}"/>
            </c:ext>
          </c:extLst>
        </c:ser>
        <c:ser>
          <c:idx val="6"/>
          <c:order val="1"/>
          <c:tx>
            <c:strRef>
              <c:f>'DQMI Data'!$X$1:$AA$1</c:f>
              <c:strCache>
                <c:ptCount val="1"/>
                <c:pt idx="0">
                  <c:v>Postcode of Usual Address</c:v>
                </c:pt>
              </c:strCache>
            </c:strRef>
          </c:tx>
          <c:spPr>
            <a:ln>
              <a:solidFill>
                <a:schemeClr val="bg2">
                  <a:lumMod val="2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Data'!$X$3:$X$38</c:f>
              <c:numCache>
                <c:formatCode>0.0%</c:formatCode>
                <c:ptCount val="36"/>
                <c:pt idx="1">
                  <c:v>0.99591886459158185</c:v>
                </c:pt>
                <c:pt idx="2">
                  <c:v>0.99571613775999102</c:v>
                </c:pt>
                <c:pt idx="3">
                  <c:v>0.99586123861840625</c:v>
                </c:pt>
                <c:pt idx="4">
                  <c:v>0.99495083709806009</c:v>
                </c:pt>
                <c:pt idx="5">
                  <c:v>0.99501769080800062</c:v>
                </c:pt>
                <c:pt idx="6">
                  <c:v>0.87196958829436233</c:v>
                </c:pt>
                <c:pt idx="7">
                  <c:v>0.87016063365163965</c:v>
                </c:pt>
                <c:pt idx="8">
                  <c:v>0.86785839467227477</c:v>
                </c:pt>
                <c:pt idx="9">
                  <c:v>0.86874861898799438</c:v>
                </c:pt>
                <c:pt idx="10">
                  <c:v>0.86807198680719866</c:v>
                </c:pt>
                <c:pt idx="11">
                  <c:v>0.86678985385519902</c:v>
                </c:pt>
                <c:pt idx="12">
                  <c:v>0.86463660313032698</c:v>
                </c:pt>
                <c:pt idx="13">
                  <c:v>0.99550283883298663</c:v>
                </c:pt>
                <c:pt idx="14">
                  <c:v>0.99542879856901523</c:v>
                </c:pt>
                <c:pt idx="15">
                  <c:v>0.99561298076923077</c:v>
                </c:pt>
                <c:pt idx="16">
                  <c:v>0.99822545454545453</c:v>
                </c:pt>
                <c:pt idx="17">
                  <c:v>0.99529082346951758</c:v>
                </c:pt>
                <c:pt idx="18">
                  <c:v>0.99548724656638321</c:v>
                </c:pt>
                <c:pt idx="19">
                  <c:v>0.99842245101295246</c:v>
                </c:pt>
                <c:pt idx="20">
                  <c:v>0.99525207182320441</c:v>
                </c:pt>
                <c:pt idx="21">
                  <c:v>0.9914884001205182</c:v>
                </c:pt>
                <c:pt idx="22">
                  <c:v>0.9970420604573984</c:v>
                </c:pt>
                <c:pt idx="23">
                  <c:v>0.99683359720023335</c:v>
                </c:pt>
                <c:pt idx="24">
                  <c:v>0.99689054726368154</c:v>
                </c:pt>
                <c:pt idx="25">
                  <c:v>0.99644629207456081</c:v>
                </c:pt>
                <c:pt idx="26">
                  <c:v>0.99683086462280401</c:v>
                </c:pt>
                <c:pt idx="27">
                  <c:v>0.99684225635137069</c:v>
                </c:pt>
                <c:pt idx="28">
                  <c:v>0.99664224664224665</c:v>
                </c:pt>
                <c:pt idx="29">
                  <c:v>0.99614406432028879</c:v>
                </c:pt>
                <c:pt idx="30">
                  <c:v>0.99662574484887645</c:v>
                </c:pt>
                <c:pt idx="31">
                  <c:v>0.99670817232002284</c:v>
                </c:pt>
                <c:pt idx="32">
                  <c:v>0.99622799664710815</c:v>
                </c:pt>
                <c:pt idx="33">
                  <c:v>0.99651479627400041</c:v>
                </c:pt>
                <c:pt idx="34">
                  <c:v>0.99668259023354566</c:v>
                </c:pt>
                <c:pt idx="35">
                  <c:v>0.99639379733140998</c:v>
                </c:pt>
              </c:numCache>
            </c:numRef>
          </c:val>
          <c:smooth val="0"/>
          <c:extLst>
            <c:ext xmlns:c16="http://schemas.microsoft.com/office/drawing/2014/chart" uri="{C3380CC4-5D6E-409C-BE32-E72D297353CC}">
              <c16:uniqueId val="{00000001-A3F9-4437-8ACA-A308535D2FC6}"/>
            </c:ext>
          </c:extLst>
        </c:ser>
        <c:ser>
          <c:idx val="7"/>
          <c:order val="2"/>
          <c:tx>
            <c:strRef>
              <c:f>'DQMI Data'!$AV$1:$AY$1</c:f>
              <c:strCache>
                <c:ptCount val="1"/>
                <c:pt idx="0">
                  <c:v>Language Code</c:v>
                </c:pt>
              </c:strCache>
            </c:strRef>
          </c:tx>
          <c:spPr>
            <a:ln>
              <a:solidFill>
                <a:schemeClr val="accent6">
                  <a:lumMod val="40000"/>
                  <a:lumOff val="60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Data'!$AV$3:$AV$38</c:f>
              <c:numCache>
                <c:formatCode>General</c:formatCode>
                <c:ptCount val="36"/>
                <c:pt idx="7" formatCode="0.0%">
                  <c:v>1</c:v>
                </c:pt>
                <c:pt idx="8" formatCode="0.0%">
                  <c:v>1</c:v>
                </c:pt>
                <c:pt idx="9" formatCode="0.0%">
                  <c:v>1</c:v>
                </c:pt>
                <c:pt idx="10" formatCode="0.0%">
                  <c:v>1</c:v>
                </c:pt>
                <c:pt idx="11" formatCode="0.0%">
                  <c:v>1</c:v>
                </c:pt>
                <c:pt idx="12" formatCode="0.0%">
                  <c:v>1</c:v>
                </c:pt>
                <c:pt idx="13" formatCode="0.0%">
                  <c:v>0.24891787059418741</c:v>
                </c:pt>
                <c:pt idx="14" formatCode="0.0%">
                  <c:v>1</c:v>
                </c:pt>
                <c:pt idx="15" formatCode="0.0%">
                  <c:v>1</c:v>
                </c:pt>
                <c:pt idx="16" formatCode="0.0%">
                  <c:v>1</c:v>
                </c:pt>
                <c:pt idx="17" formatCode="0.0%">
                  <c:v>1</c:v>
                </c:pt>
                <c:pt idx="18" formatCode="0.0%">
                  <c:v>1</c:v>
                </c:pt>
                <c:pt idx="19" formatCode="0.0%">
                  <c:v>1</c:v>
                </c:pt>
                <c:pt idx="20" formatCode="0.0%">
                  <c:v>1</c:v>
                </c:pt>
                <c:pt idx="21" formatCode="0.0%">
                  <c:v>1</c:v>
                </c:pt>
                <c:pt idx="22" formatCode="0.0%">
                  <c:v>1</c:v>
                </c:pt>
                <c:pt idx="23" formatCode="0.0%">
                  <c:v>1</c:v>
                </c:pt>
                <c:pt idx="24" formatCode="0.0%">
                  <c:v>1</c:v>
                </c:pt>
                <c:pt idx="25" formatCode="0.0%">
                  <c:v>1</c:v>
                </c:pt>
                <c:pt idx="26" formatCode="0.0%">
                  <c:v>1</c:v>
                </c:pt>
                <c:pt idx="27" formatCode="0.0%">
                  <c:v>1</c:v>
                </c:pt>
                <c:pt idx="28" formatCode="0.0%">
                  <c:v>1</c:v>
                </c:pt>
                <c:pt idx="29" formatCode="0.0%">
                  <c:v>1</c:v>
                </c:pt>
                <c:pt idx="30" formatCode="0.0%">
                  <c:v>1</c:v>
                </c:pt>
                <c:pt idx="31" formatCode="0.0%">
                  <c:v>1</c:v>
                </c:pt>
                <c:pt idx="32" formatCode="0.0%">
                  <c:v>1</c:v>
                </c:pt>
                <c:pt idx="33" formatCode="0.0%">
                  <c:v>1</c:v>
                </c:pt>
                <c:pt idx="34" formatCode="0.0%">
                  <c:v>1</c:v>
                </c:pt>
                <c:pt idx="35" formatCode="0.0%">
                  <c:v>1</c:v>
                </c:pt>
              </c:numCache>
            </c:numRef>
          </c:val>
          <c:smooth val="0"/>
          <c:extLst>
            <c:ext xmlns:c16="http://schemas.microsoft.com/office/drawing/2014/chart" uri="{C3380CC4-5D6E-409C-BE32-E72D297353CC}">
              <c16:uniqueId val="{00000002-A3F9-4437-8ACA-A308535D2FC6}"/>
            </c:ext>
          </c:extLst>
        </c:ser>
        <c:dLbls>
          <c:showLegendKey val="0"/>
          <c:showVal val="0"/>
          <c:showCatName val="0"/>
          <c:showSerName val="0"/>
          <c:showPercent val="0"/>
          <c:showBubbleSize val="0"/>
        </c:dLbls>
        <c:smooth val="0"/>
        <c:axId val="2627840"/>
        <c:axId val="2629632"/>
      </c:lineChart>
      <c:dateAx>
        <c:axId val="2627840"/>
        <c:scaling>
          <c:orientation val="minMax"/>
        </c:scaling>
        <c:delete val="0"/>
        <c:axPos val="b"/>
        <c:numFmt formatCode="mmm\ yyyy" sourceLinked="1"/>
        <c:majorTickMark val="out"/>
        <c:minorTickMark val="none"/>
        <c:tickLblPos val="nextTo"/>
        <c:txPr>
          <a:bodyPr rot="0" vert="horz"/>
          <a:lstStyle/>
          <a:p>
            <a:pPr>
              <a:defRPr/>
            </a:pPr>
            <a:endParaRPr lang="en-US"/>
          </a:p>
        </c:txPr>
        <c:crossAx val="2629632"/>
        <c:crosses val="autoZero"/>
        <c:auto val="1"/>
        <c:lblOffset val="100"/>
        <c:baseTimeUnit val="months"/>
      </c:dateAx>
      <c:valAx>
        <c:axId val="2629632"/>
        <c:scaling>
          <c:orientation val="minMax"/>
          <c:max val="1.01"/>
          <c:min val="0"/>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627840"/>
        <c:crosses val="autoZero"/>
        <c:crossBetween val="midCat"/>
      </c:valAx>
    </c:plotArea>
    <c:legend>
      <c:legendPos val="b"/>
      <c:layout>
        <c:manualLayout>
          <c:xMode val="edge"/>
          <c:yMode val="edge"/>
          <c:x val="1.3776186183772654E-3"/>
          <c:y val="0.85486567397383539"/>
          <c:w val="0.993195165605399"/>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533981454564067"/>
          <c:y val="5.7356514850444289E-2"/>
          <c:w val="0.81516786217540405"/>
          <c:h val="0.63951272950827442"/>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F8DB-43D0-8241-3483DA83E149}"/>
            </c:ext>
          </c:extLst>
        </c:ser>
        <c:ser>
          <c:idx val="1"/>
          <c:order val="1"/>
          <c:tx>
            <c:strRef>
              <c:f>'DQMI Data'!$AJ$1:$AM$1</c:f>
              <c:strCache>
                <c:ptCount val="1"/>
                <c:pt idx="0">
                  <c:v>Attended or Did Not Attend Code</c:v>
                </c:pt>
              </c:strCache>
            </c:strRef>
          </c:tx>
          <c:spPr>
            <a:ln>
              <a:solidFill>
                <a:srgbClr val="FF8989"/>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Data'!$AJ$3:$AJ$38</c:f>
              <c:numCache>
                <c:formatCode>General</c:formatCode>
                <c:ptCount val="36"/>
                <c:pt idx="7" formatCode="0.0%">
                  <c:v>1</c:v>
                </c:pt>
                <c:pt idx="8" formatCode="0.0%">
                  <c:v>1</c:v>
                </c:pt>
                <c:pt idx="9" formatCode="0.0%">
                  <c:v>1</c:v>
                </c:pt>
                <c:pt idx="10" formatCode="0.0%">
                  <c:v>1</c:v>
                </c:pt>
                <c:pt idx="11" formatCode="0.0%">
                  <c:v>1</c:v>
                </c:pt>
                <c:pt idx="12" formatCode="0.0%">
                  <c:v>1</c:v>
                </c:pt>
                <c:pt idx="13" formatCode="0.0%">
                  <c:v>1</c:v>
                </c:pt>
                <c:pt idx="14" formatCode="0.0%">
                  <c:v>1</c:v>
                </c:pt>
                <c:pt idx="15" formatCode="0.0%">
                  <c:v>1</c:v>
                </c:pt>
                <c:pt idx="16" formatCode="0.0%">
                  <c:v>1</c:v>
                </c:pt>
                <c:pt idx="17" formatCode="0.0%">
                  <c:v>1</c:v>
                </c:pt>
                <c:pt idx="18" formatCode="0.0%">
                  <c:v>1</c:v>
                </c:pt>
                <c:pt idx="19" formatCode="0.0%">
                  <c:v>1</c:v>
                </c:pt>
                <c:pt idx="20" formatCode="0.0%">
                  <c:v>1</c:v>
                </c:pt>
                <c:pt idx="21" formatCode="0.0%">
                  <c:v>1</c:v>
                </c:pt>
                <c:pt idx="22" formatCode="0.0%">
                  <c:v>1</c:v>
                </c:pt>
                <c:pt idx="23" formatCode="0.0%">
                  <c:v>1</c:v>
                </c:pt>
                <c:pt idx="24" formatCode="0.0%">
                  <c:v>1</c:v>
                </c:pt>
                <c:pt idx="25" formatCode="0.0%">
                  <c:v>1</c:v>
                </c:pt>
                <c:pt idx="26" formatCode="0.0%">
                  <c:v>1</c:v>
                </c:pt>
                <c:pt idx="27" formatCode="0.0%">
                  <c:v>1</c:v>
                </c:pt>
                <c:pt idx="28" formatCode="0.0%">
                  <c:v>1</c:v>
                </c:pt>
                <c:pt idx="29" formatCode="0.0%">
                  <c:v>1</c:v>
                </c:pt>
                <c:pt idx="30" formatCode="0.0%">
                  <c:v>1</c:v>
                </c:pt>
                <c:pt idx="31" formatCode="0.0%">
                  <c:v>1</c:v>
                </c:pt>
                <c:pt idx="32" formatCode="0.0%">
                  <c:v>1</c:v>
                </c:pt>
                <c:pt idx="33" formatCode="0.0%">
                  <c:v>1</c:v>
                </c:pt>
                <c:pt idx="34" formatCode="0.0%">
                  <c:v>1</c:v>
                </c:pt>
                <c:pt idx="35" formatCode="0.0%">
                  <c:v>1</c:v>
                </c:pt>
              </c:numCache>
            </c:numRef>
          </c:val>
          <c:smooth val="0"/>
          <c:extLst>
            <c:ext xmlns:c16="http://schemas.microsoft.com/office/drawing/2014/chart" uri="{C3380CC4-5D6E-409C-BE32-E72D297353CC}">
              <c16:uniqueId val="{00000001-F8DB-43D0-8241-3483DA83E149}"/>
            </c:ext>
          </c:extLst>
        </c:ser>
        <c:dLbls>
          <c:showLegendKey val="0"/>
          <c:showVal val="0"/>
          <c:showCatName val="0"/>
          <c:showSerName val="0"/>
          <c:showPercent val="0"/>
          <c:showBubbleSize val="0"/>
        </c:dLbls>
        <c:smooth val="0"/>
        <c:axId val="236868736"/>
        <c:axId val="236870272"/>
      </c:lineChart>
      <c:dateAx>
        <c:axId val="236868736"/>
        <c:scaling>
          <c:orientation val="minMax"/>
        </c:scaling>
        <c:delete val="0"/>
        <c:axPos val="b"/>
        <c:numFmt formatCode="mmm\ yyyy" sourceLinked="1"/>
        <c:majorTickMark val="out"/>
        <c:minorTickMark val="none"/>
        <c:tickLblPos val="nextTo"/>
        <c:txPr>
          <a:bodyPr rot="0" vert="horz"/>
          <a:lstStyle/>
          <a:p>
            <a:pPr>
              <a:defRPr/>
            </a:pPr>
            <a:endParaRPr lang="en-US"/>
          </a:p>
        </c:txPr>
        <c:crossAx val="236870272"/>
        <c:crosses val="autoZero"/>
        <c:auto val="1"/>
        <c:lblOffset val="100"/>
        <c:baseTimeUnit val="months"/>
      </c:dateAx>
      <c:valAx>
        <c:axId val="236870272"/>
        <c:scaling>
          <c:orientation val="minMax"/>
          <c:max val="1.01"/>
          <c:min val="0.60000000000000009"/>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36868736"/>
        <c:crosses val="autoZero"/>
        <c:crossBetween val="midCat"/>
      </c:valAx>
    </c:plotArea>
    <c:legend>
      <c:legendPos val="b"/>
      <c:layout>
        <c:manualLayout>
          <c:xMode val="edge"/>
          <c:yMode val="edge"/>
          <c:x val="3.8565659941105057E-2"/>
          <c:y val="0.87274644393920298"/>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793632009070866"/>
          <c:y val="5.6673064180362942E-2"/>
          <c:w val="0.81273939883370439"/>
          <c:h val="0.64019627668313894"/>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A986-43B1-95BC-FFAF676BF4A6}"/>
            </c:ext>
          </c:extLst>
        </c:ser>
        <c:ser>
          <c:idx val="2"/>
          <c:order val="1"/>
          <c:tx>
            <c:v>Consultation Medium Used</c:v>
          </c:tx>
          <c:spPr>
            <a:ln>
              <a:solidFill>
                <a:srgbClr val="FFCC00"/>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Data'!$AR$3:$AR$38</c:f>
              <c:numCache>
                <c:formatCode>General</c:formatCode>
                <c:ptCount val="36"/>
                <c:pt idx="7" formatCode="0.0%">
                  <c:v>1</c:v>
                </c:pt>
                <c:pt idx="8" formatCode="0.0%">
                  <c:v>1</c:v>
                </c:pt>
                <c:pt idx="9" formatCode="0.0%">
                  <c:v>1</c:v>
                </c:pt>
                <c:pt idx="10" formatCode="0.0%">
                  <c:v>1</c:v>
                </c:pt>
                <c:pt idx="11" formatCode="0.0%">
                  <c:v>1</c:v>
                </c:pt>
                <c:pt idx="12" formatCode="0.0%">
                  <c:v>1</c:v>
                </c:pt>
                <c:pt idx="13" formatCode="0.0%">
                  <c:v>9.5675595287274651E-2</c:v>
                </c:pt>
                <c:pt idx="14" formatCode="0.0%">
                  <c:v>0.96934762185315515</c:v>
                </c:pt>
                <c:pt idx="15" formatCode="0.0%">
                  <c:v>0.97477750088999648</c:v>
                </c:pt>
                <c:pt idx="16" formatCode="0.0%">
                  <c:v>0.97190428339174695</c:v>
                </c:pt>
                <c:pt idx="17" formatCode="0.0%">
                  <c:v>0.97380621651362909</c:v>
                </c:pt>
                <c:pt idx="18" formatCode="0.0%">
                  <c:v>0.97352951848760838</c:v>
                </c:pt>
                <c:pt idx="19" formatCode="0.0%">
                  <c:v>0.97242365226039029</c:v>
                </c:pt>
                <c:pt idx="20" formatCode="0.0%">
                  <c:v>0.97264005447954016</c:v>
                </c:pt>
                <c:pt idx="21" formatCode="0.0%">
                  <c:v>0.97146500327394281</c:v>
                </c:pt>
                <c:pt idx="22" formatCode="0.0%">
                  <c:v>0.97378617167869008</c:v>
                </c:pt>
                <c:pt idx="23" formatCode="0.0%">
                  <c:v>0.97449130595634481</c:v>
                </c:pt>
                <c:pt idx="24" formatCode="0.0%">
                  <c:v>0.97168854122344783</c:v>
                </c:pt>
                <c:pt idx="25" formatCode="0.0%">
                  <c:v>0.97220090523249436</c:v>
                </c:pt>
                <c:pt idx="26" formatCode="0.0%">
                  <c:v>0.96939078751857355</c:v>
                </c:pt>
                <c:pt idx="27" formatCode="0.0%">
                  <c:v>0.96290703664884258</c:v>
                </c:pt>
                <c:pt idx="28" formatCode="0.0%">
                  <c:v>0.96199906585707617</c:v>
                </c:pt>
                <c:pt idx="29" formatCode="0.0%">
                  <c:v>0.9639659577892683</c:v>
                </c:pt>
                <c:pt idx="30" formatCode="0.0%">
                  <c:v>0.9610520731728186</c:v>
                </c:pt>
                <c:pt idx="31" formatCode="0.0%">
                  <c:v>0.96275827192602226</c:v>
                </c:pt>
                <c:pt idx="32" formatCode="0.0%">
                  <c:v>0.96721427811091798</c:v>
                </c:pt>
                <c:pt idx="33" formatCode="0.0%">
                  <c:v>0.98666057113001449</c:v>
                </c:pt>
                <c:pt idx="34" formatCode="0.0%">
                  <c:v>0.98200471463195993</c:v>
                </c:pt>
                <c:pt idx="35" formatCode="0.0%">
                  <c:v>0.97653480788317026</c:v>
                </c:pt>
              </c:numCache>
            </c:numRef>
          </c:val>
          <c:smooth val="0"/>
          <c:extLst>
            <c:ext xmlns:c16="http://schemas.microsoft.com/office/drawing/2014/chart" uri="{C3380CC4-5D6E-409C-BE32-E72D297353CC}">
              <c16:uniqueId val="{00000001-A986-43B1-95BC-FFAF676BF4A6}"/>
            </c:ext>
          </c:extLst>
        </c:ser>
        <c:dLbls>
          <c:showLegendKey val="0"/>
          <c:showVal val="0"/>
          <c:showCatName val="0"/>
          <c:showSerName val="0"/>
          <c:showPercent val="0"/>
          <c:showBubbleSize val="0"/>
        </c:dLbls>
        <c:smooth val="0"/>
        <c:axId val="236882944"/>
        <c:axId val="243356416"/>
      </c:lineChart>
      <c:dateAx>
        <c:axId val="236882944"/>
        <c:scaling>
          <c:orientation val="minMax"/>
        </c:scaling>
        <c:delete val="0"/>
        <c:axPos val="b"/>
        <c:numFmt formatCode="mmm\ yyyy" sourceLinked="1"/>
        <c:majorTickMark val="out"/>
        <c:minorTickMark val="none"/>
        <c:tickLblPos val="nextTo"/>
        <c:txPr>
          <a:bodyPr rot="0" vert="horz"/>
          <a:lstStyle/>
          <a:p>
            <a:pPr>
              <a:defRPr/>
            </a:pPr>
            <a:endParaRPr lang="en-US"/>
          </a:p>
        </c:txPr>
        <c:crossAx val="243356416"/>
        <c:crosses val="autoZero"/>
        <c:auto val="1"/>
        <c:lblOffset val="100"/>
        <c:baseTimeUnit val="months"/>
      </c:dateAx>
      <c:valAx>
        <c:axId val="243356416"/>
        <c:scaling>
          <c:orientation val="minMax"/>
          <c:max val="1.01"/>
          <c:min val="0"/>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36882944"/>
        <c:crosses val="autoZero"/>
        <c:crossBetween val="midCat"/>
      </c:valAx>
    </c:plotArea>
    <c:legend>
      <c:legendPos val="b"/>
      <c:layout>
        <c:manualLayout>
          <c:xMode val="edge"/>
          <c:yMode val="edge"/>
          <c:x val="3.4993919227513291E-2"/>
          <c:y val="0.872063116919227"/>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3793632009070866"/>
          <c:y val="5.6673064180362942E-2"/>
          <c:w val="0.8127393988337045"/>
          <c:h val="0.61726633577738821"/>
        </c:manualLayout>
      </c:layout>
      <c:lineChart>
        <c:grouping val="standard"/>
        <c:varyColors val="0"/>
        <c:ser>
          <c:idx val="0"/>
          <c:order val="0"/>
          <c:tx>
            <c:strRef>
              <c:f>'DQMI Data'!$B$2</c:f>
              <c:strCache>
                <c:ptCount val="1"/>
                <c:pt idx="0">
                  <c:v>CSDS Score</c:v>
                </c:pt>
              </c:strCache>
            </c:strRef>
          </c:tx>
          <c:spPr>
            <a:ln>
              <a:solidFill>
                <a:schemeClr val="accent5">
                  <a:lumMod val="75000"/>
                </a:schemeClr>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Data'!$B$3:$B$38</c:f>
              <c:numCache>
                <c:formatCode>0.0%</c:formatCode>
                <c:ptCount val="36"/>
                <c:pt idx="1">
                  <c:v>0.91800000000000004</c:v>
                </c:pt>
                <c:pt idx="2">
                  <c:v>0.93500000000000005</c:v>
                </c:pt>
                <c:pt idx="3">
                  <c:v>0.94200000000000006</c:v>
                </c:pt>
                <c:pt idx="4">
                  <c:v>0.94</c:v>
                </c:pt>
                <c:pt idx="5">
                  <c:v>0.94099999999999995</c:v>
                </c:pt>
                <c:pt idx="6">
                  <c:v>0.92200000000000004</c:v>
                </c:pt>
                <c:pt idx="7">
                  <c:v>0.85199999999999998</c:v>
                </c:pt>
                <c:pt idx="8">
                  <c:v>0.85099999999999998</c:v>
                </c:pt>
                <c:pt idx="9">
                  <c:v>0.85099999999999998</c:v>
                </c:pt>
                <c:pt idx="10">
                  <c:v>0.84900000000000009</c:v>
                </c:pt>
                <c:pt idx="11">
                  <c:v>0.84499999999999997</c:v>
                </c:pt>
                <c:pt idx="12">
                  <c:v>0.84599999999999997</c:v>
                </c:pt>
                <c:pt idx="13">
                  <c:v>0.69400000000000006</c:v>
                </c:pt>
                <c:pt idx="14">
                  <c:v>0.82</c:v>
                </c:pt>
                <c:pt idx="15">
                  <c:v>0.82</c:v>
                </c:pt>
                <c:pt idx="16">
                  <c:v>0.83400000000000007</c:v>
                </c:pt>
                <c:pt idx="17">
                  <c:v>0.85</c:v>
                </c:pt>
                <c:pt idx="18">
                  <c:v>0.82099999999999995</c:v>
                </c:pt>
                <c:pt idx="19">
                  <c:v>0.82</c:v>
                </c:pt>
                <c:pt idx="20">
                  <c:v>0.82</c:v>
                </c:pt>
                <c:pt idx="21">
                  <c:v>0.81900000000000006</c:v>
                </c:pt>
                <c:pt idx="22">
                  <c:v>0.87599999999999989</c:v>
                </c:pt>
                <c:pt idx="23">
                  <c:v>0.86299999999999999</c:v>
                </c:pt>
                <c:pt idx="24">
                  <c:v>0.87</c:v>
                </c:pt>
                <c:pt idx="25">
                  <c:v>0.877</c:v>
                </c:pt>
                <c:pt idx="26">
                  <c:v>0.88200000000000001</c:v>
                </c:pt>
                <c:pt idx="27">
                  <c:v>0.88099999999999989</c:v>
                </c:pt>
                <c:pt idx="28">
                  <c:v>0.89</c:v>
                </c:pt>
                <c:pt idx="29">
                  <c:v>0.90700000000000003</c:v>
                </c:pt>
                <c:pt idx="30">
                  <c:v>0.89800000000000002</c:v>
                </c:pt>
                <c:pt idx="31">
                  <c:v>0.89800000000000002</c:v>
                </c:pt>
                <c:pt idx="32">
                  <c:v>0.91400000000000003</c:v>
                </c:pt>
                <c:pt idx="33">
                  <c:v>0.91500000000000004</c:v>
                </c:pt>
                <c:pt idx="34">
                  <c:v>0.91500000000000004</c:v>
                </c:pt>
                <c:pt idx="35">
                  <c:v>0.91500000000000004</c:v>
                </c:pt>
              </c:numCache>
            </c:numRef>
          </c:val>
          <c:smooth val="0"/>
          <c:extLst>
            <c:ext xmlns:c16="http://schemas.microsoft.com/office/drawing/2014/chart" uri="{C3380CC4-5D6E-409C-BE32-E72D297353CC}">
              <c16:uniqueId val="{00000000-18E7-4E7D-B16A-3C12A6D2D7AA}"/>
            </c:ext>
          </c:extLst>
        </c:ser>
        <c:ser>
          <c:idx val="4"/>
          <c:order val="1"/>
          <c:tx>
            <c:strRef>
              <c:f>'DQMI Data'!$AF$1:$AI$1</c:f>
              <c:strCache>
                <c:ptCount val="1"/>
                <c:pt idx="0">
                  <c:v>Activity Location Type Code</c:v>
                </c:pt>
              </c:strCache>
            </c:strRef>
          </c:tx>
          <c:spPr>
            <a:ln>
              <a:solidFill>
                <a:srgbClr val="CCCCFF"/>
              </a:solidFill>
            </a:ln>
          </c:spPr>
          <c:marker>
            <c:symbol val="none"/>
          </c:marker>
          <c:cat>
            <c:numRef>
              <c:f>'DQMI Data'!$A$3:$A$38</c:f>
              <c:numCache>
                <c:formatCode>mmm\ yyyy</c:formatCode>
                <c:ptCount val="36"/>
                <c:pt idx="0">
                  <c:v>43344</c:v>
                </c:pt>
                <c:pt idx="1">
                  <c:v>43374</c:v>
                </c:pt>
                <c:pt idx="2">
                  <c:v>43405</c:v>
                </c:pt>
                <c:pt idx="3">
                  <c:v>43435</c:v>
                </c:pt>
                <c:pt idx="4">
                  <c:v>43466</c:v>
                </c:pt>
                <c:pt idx="5">
                  <c:v>43497</c:v>
                </c:pt>
                <c:pt idx="6">
                  <c:v>43525</c:v>
                </c:pt>
                <c:pt idx="7">
                  <c:v>43556</c:v>
                </c:pt>
                <c:pt idx="8">
                  <c:v>43586</c:v>
                </c:pt>
                <c:pt idx="9">
                  <c:v>43617</c:v>
                </c:pt>
                <c:pt idx="10">
                  <c:v>43647</c:v>
                </c:pt>
                <c:pt idx="11">
                  <c:v>43678</c:v>
                </c:pt>
                <c:pt idx="12">
                  <c:v>43709</c:v>
                </c:pt>
                <c:pt idx="13">
                  <c:v>43739</c:v>
                </c:pt>
                <c:pt idx="14">
                  <c:v>43770</c:v>
                </c:pt>
                <c:pt idx="15">
                  <c:v>43800</c:v>
                </c:pt>
                <c:pt idx="16">
                  <c:v>43831</c:v>
                </c:pt>
                <c:pt idx="17">
                  <c:v>43862</c:v>
                </c:pt>
                <c:pt idx="18">
                  <c:v>43891</c:v>
                </c:pt>
                <c:pt idx="19">
                  <c:v>43922</c:v>
                </c:pt>
                <c:pt idx="20">
                  <c:v>43952</c:v>
                </c:pt>
                <c:pt idx="21">
                  <c:v>43983</c:v>
                </c:pt>
                <c:pt idx="22">
                  <c:v>44013</c:v>
                </c:pt>
                <c:pt idx="23">
                  <c:v>44044</c:v>
                </c:pt>
                <c:pt idx="24">
                  <c:v>44075</c:v>
                </c:pt>
                <c:pt idx="25">
                  <c:v>44105</c:v>
                </c:pt>
                <c:pt idx="26">
                  <c:v>44136</c:v>
                </c:pt>
                <c:pt idx="27">
                  <c:v>44166</c:v>
                </c:pt>
                <c:pt idx="28">
                  <c:v>44197</c:v>
                </c:pt>
                <c:pt idx="29">
                  <c:v>44228</c:v>
                </c:pt>
                <c:pt idx="30">
                  <c:v>44256</c:v>
                </c:pt>
                <c:pt idx="31">
                  <c:v>44287</c:v>
                </c:pt>
                <c:pt idx="32">
                  <c:v>44317</c:v>
                </c:pt>
                <c:pt idx="33">
                  <c:v>44348</c:v>
                </c:pt>
                <c:pt idx="34">
                  <c:v>44378</c:v>
                </c:pt>
                <c:pt idx="35">
                  <c:v>44409</c:v>
                </c:pt>
              </c:numCache>
            </c:numRef>
          </c:cat>
          <c:val>
            <c:numRef>
              <c:f>'DQMI Data'!$AF$3:$AF$38</c:f>
              <c:numCache>
                <c:formatCode>General</c:formatCode>
                <c:ptCount val="36"/>
                <c:pt idx="7" formatCode="0.0%">
                  <c:v>0.64768219880604194</c:v>
                </c:pt>
                <c:pt idx="8" formatCode="0.0%">
                  <c:v>0.64903828057364399</c:v>
                </c:pt>
                <c:pt idx="9" formatCode="0.0%">
                  <c:v>0.65094792416606673</c:v>
                </c:pt>
                <c:pt idx="10" formatCode="0.0%">
                  <c:v>0.64781988207458596</c:v>
                </c:pt>
                <c:pt idx="11" formatCode="0.0%">
                  <c:v>0.62914216570785653</c:v>
                </c:pt>
                <c:pt idx="12" formatCode="0.0%">
                  <c:v>0.64362340966921117</c:v>
                </c:pt>
                <c:pt idx="13" formatCode="0.0%">
                  <c:v>2.8273047242923476E-2</c:v>
                </c:pt>
                <c:pt idx="14" formatCode="0.0%">
                  <c:v>2.6607856562793585E-2</c:v>
                </c:pt>
                <c:pt idx="15" formatCode="0.0%">
                  <c:v>2.2694909220363119E-2</c:v>
                </c:pt>
                <c:pt idx="16" formatCode="0.0%">
                  <c:v>0.20439041526759966</c:v>
                </c:pt>
                <c:pt idx="17" formatCode="0.0%">
                  <c:v>0.38801796763660634</c:v>
                </c:pt>
                <c:pt idx="18" formatCode="0.0%">
                  <c:v>2.2968903080663305E-2</c:v>
                </c:pt>
                <c:pt idx="19" formatCode="0.0%">
                  <c:v>2.6395392201549746E-2</c:v>
                </c:pt>
                <c:pt idx="20" formatCode="0.0%">
                  <c:v>2.3714623350091134E-2</c:v>
                </c:pt>
                <c:pt idx="21" formatCode="0.0%">
                  <c:v>2.1435710100975291E-2</c:v>
                </c:pt>
                <c:pt idx="22" formatCode="0.0%">
                  <c:v>0.41483342789981359</c:v>
                </c:pt>
                <c:pt idx="23" formatCode="0.0%">
                  <c:v>0.54093599704032558</c:v>
                </c:pt>
                <c:pt idx="24" formatCode="0.0%">
                  <c:v>0.65834778908781466</c:v>
                </c:pt>
                <c:pt idx="25" formatCode="0.0%">
                  <c:v>0.65623091259338151</c:v>
                </c:pt>
                <c:pt idx="26" formatCode="0.0%">
                  <c:v>0.70974565160388081</c:v>
                </c:pt>
                <c:pt idx="27" formatCode="0.0%">
                  <c:v>0.69458705654545128</c:v>
                </c:pt>
                <c:pt idx="28" formatCode="0.0%">
                  <c:v>0.80625875758991128</c:v>
                </c:pt>
                <c:pt idx="29" formatCode="0.0%">
                  <c:v>0.81419632617749427</c:v>
                </c:pt>
                <c:pt idx="30" formatCode="0.0%">
                  <c:v>0.81624655612026631</c:v>
                </c:pt>
                <c:pt idx="31" formatCode="0.0%">
                  <c:v>0.81675335934113569</c:v>
                </c:pt>
                <c:pt idx="32" formatCode="0.0%">
                  <c:v>0.78520739452861654</c:v>
                </c:pt>
                <c:pt idx="33" formatCode="0.0%">
                  <c:v>0.76064133753489971</c:v>
                </c:pt>
                <c:pt idx="34" formatCode="0.0%">
                  <c:v>0.75548656993924101</c:v>
                </c:pt>
                <c:pt idx="35" formatCode="0.0%">
                  <c:v>0.76155536651070466</c:v>
                </c:pt>
              </c:numCache>
            </c:numRef>
          </c:val>
          <c:smooth val="0"/>
          <c:extLst>
            <c:ext xmlns:c16="http://schemas.microsoft.com/office/drawing/2014/chart" uri="{C3380CC4-5D6E-409C-BE32-E72D297353CC}">
              <c16:uniqueId val="{00000001-18E7-4E7D-B16A-3C12A6D2D7AA}"/>
            </c:ext>
          </c:extLst>
        </c:ser>
        <c:dLbls>
          <c:showLegendKey val="0"/>
          <c:showVal val="0"/>
          <c:showCatName val="0"/>
          <c:showSerName val="0"/>
          <c:showPercent val="0"/>
          <c:showBubbleSize val="0"/>
        </c:dLbls>
        <c:smooth val="0"/>
        <c:axId val="243381760"/>
        <c:axId val="243383296"/>
      </c:lineChart>
      <c:dateAx>
        <c:axId val="243381760"/>
        <c:scaling>
          <c:orientation val="minMax"/>
        </c:scaling>
        <c:delete val="0"/>
        <c:axPos val="b"/>
        <c:numFmt formatCode="mmm\ yyyy" sourceLinked="1"/>
        <c:majorTickMark val="out"/>
        <c:minorTickMark val="none"/>
        <c:tickLblPos val="nextTo"/>
        <c:txPr>
          <a:bodyPr rot="0" vert="horz"/>
          <a:lstStyle/>
          <a:p>
            <a:pPr>
              <a:defRPr/>
            </a:pPr>
            <a:endParaRPr lang="en-US"/>
          </a:p>
        </c:txPr>
        <c:crossAx val="243383296"/>
        <c:crosses val="autoZero"/>
        <c:auto val="1"/>
        <c:lblOffset val="100"/>
        <c:baseTimeUnit val="months"/>
      </c:dateAx>
      <c:valAx>
        <c:axId val="243383296"/>
        <c:scaling>
          <c:orientation val="minMax"/>
          <c:max val="1.01"/>
          <c:min val="0"/>
        </c:scaling>
        <c:delete val="0"/>
        <c:axPos val="l"/>
        <c:title>
          <c:tx>
            <c:rich>
              <a:bodyPr rot="-5400000" vert="horz"/>
              <a:lstStyle/>
              <a:p>
                <a:pPr>
                  <a:defRPr/>
                </a:pPr>
                <a:r>
                  <a:rPr lang="en-US"/>
                  <a:t>% Completeness of Data</a:t>
                </a:r>
              </a:p>
            </c:rich>
          </c:tx>
          <c:overlay val="0"/>
        </c:title>
        <c:numFmt formatCode="0%" sourceLinked="0"/>
        <c:majorTickMark val="out"/>
        <c:minorTickMark val="none"/>
        <c:tickLblPos val="nextTo"/>
        <c:crossAx val="243381760"/>
        <c:crosses val="autoZero"/>
        <c:crossBetween val="midCat"/>
      </c:valAx>
    </c:plotArea>
    <c:legend>
      <c:legendPos val="b"/>
      <c:layout>
        <c:manualLayout>
          <c:xMode val="edge"/>
          <c:yMode val="edge"/>
          <c:x val="4.1105973883719844E-2"/>
          <c:y val="0.872063116919227"/>
          <c:w val="0.92901868609707361"/>
          <c:h val="0.1237206225486297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90715</xdr:colOff>
      <xdr:row>80</xdr:row>
      <xdr:rowOff>18142</xdr:rowOff>
    </xdr:from>
    <xdr:to>
      <xdr:col>14</xdr:col>
      <xdr:colOff>598714</xdr:colOff>
      <xdr:row>92</xdr:row>
      <xdr:rowOff>55243</xdr:rowOff>
    </xdr:to>
    <xdr:graphicFrame macro="">
      <xdr:nvGraphicFramePr>
        <xdr:cNvPr id="57" name="Chart 56">
          <a:extLst>
            <a:ext uri="{FF2B5EF4-FFF2-40B4-BE49-F238E27FC236}">
              <a16:creationId xmlns:a16="http://schemas.microsoft.com/office/drawing/2014/main" id="{00000000-0008-0000-03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3</xdr:row>
      <xdr:rowOff>6350</xdr:rowOff>
    </xdr:from>
    <xdr:to>
      <xdr:col>14</xdr:col>
      <xdr:colOff>603250</xdr:colOff>
      <xdr:row>20</xdr:row>
      <xdr:rowOff>8164</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15727</xdr:colOff>
      <xdr:row>4</xdr:row>
      <xdr:rowOff>138869</xdr:rowOff>
    </xdr:from>
    <xdr:to>
      <xdr:col>4</xdr:col>
      <xdr:colOff>303727</xdr:colOff>
      <xdr:row>6</xdr:row>
      <xdr:rowOff>25744</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2103290" y="924682"/>
          <a:ext cx="288000" cy="252000"/>
          <a:chOff x="7639050" y="838200"/>
          <a:chExt cx="285750" cy="254000"/>
        </a:xfrm>
      </xdr:grpSpPr>
      <xdr:sp macro="" textlink="">
        <xdr:nvSpPr>
          <xdr:cNvPr id="3" name="Oval 2">
            <a:extLst>
              <a:ext uri="{FF2B5EF4-FFF2-40B4-BE49-F238E27FC236}">
                <a16:creationId xmlns:a16="http://schemas.microsoft.com/office/drawing/2014/main" id="{00000000-0008-0000-0300-000003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1</a:t>
            </a:r>
          </a:p>
        </xdr:txBody>
      </xdr:sp>
    </xdr:grpSp>
    <xdr:clientData/>
  </xdr:twoCellAnchor>
  <xdr:twoCellAnchor>
    <xdr:from>
      <xdr:col>16</xdr:col>
      <xdr:colOff>38100</xdr:colOff>
      <xdr:row>3</xdr:row>
      <xdr:rowOff>46264</xdr:rowOff>
    </xdr:from>
    <xdr:to>
      <xdr:col>16</xdr:col>
      <xdr:colOff>323850</xdr:colOff>
      <xdr:row>4</xdr:row>
      <xdr:rowOff>116114</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9555163" y="649514"/>
          <a:ext cx="285750" cy="252413"/>
          <a:chOff x="7639050" y="838200"/>
          <a:chExt cx="285750" cy="254000"/>
        </a:xfrm>
      </xdr:grpSpPr>
      <xdr:sp macro="" textlink="">
        <xdr:nvSpPr>
          <xdr:cNvPr id="7" name="Oval 6">
            <a:extLst>
              <a:ext uri="{FF2B5EF4-FFF2-40B4-BE49-F238E27FC236}">
                <a16:creationId xmlns:a16="http://schemas.microsoft.com/office/drawing/2014/main" id="{00000000-0008-0000-0300-000007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1</a:t>
            </a:r>
          </a:p>
        </xdr:txBody>
      </xdr:sp>
    </xdr:grpSp>
    <xdr:clientData/>
  </xdr:twoCellAnchor>
  <xdr:twoCellAnchor>
    <xdr:from>
      <xdr:col>6</xdr:col>
      <xdr:colOff>125565</xdr:colOff>
      <xdr:row>13</xdr:row>
      <xdr:rowOff>130929</xdr:rowOff>
    </xdr:from>
    <xdr:to>
      <xdr:col>6</xdr:col>
      <xdr:colOff>411895</xdr:colOff>
      <xdr:row>15</xdr:row>
      <xdr:rowOff>17512</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3633940" y="2559804"/>
          <a:ext cx="286330" cy="251708"/>
          <a:chOff x="7639050" y="838200"/>
          <a:chExt cx="285750" cy="254000"/>
        </a:xfrm>
      </xdr:grpSpPr>
      <xdr:sp macro="" textlink="">
        <xdr:nvSpPr>
          <xdr:cNvPr id="10" name="Oval 9">
            <a:extLst>
              <a:ext uri="{FF2B5EF4-FFF2-40B4-BE49-F238E27FC236}">
                <a16:creationId xmlns:a16="http://schemas.microsoft.com/office/drawing/2014/main" id="{00000000-0008-0000-0300-00000A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2</a:t>
            </a:r>
          </a:p>
        </xdr:txBody>
      </xdr:sp>
    </xdr:grpSp>
    <xdr:clientData/>
  </xdr:twoCellAnchor>
  <xdr:twoCellAnchor>
    <xdr:from>
      <xdr:col>16</xdr:col>
      <xdr:colOff>38100</xdr:colOff>
      <xdr:row>7</xdr:row>
      <xdr:rowOff>34472</xdr:rowOff>
    </xdr:from>
    <xdr:to>
      <xdr:col>16</xdr:col>
      <xdr:colOff>323850</xdr:colOff>
      <xdr:row>8</xdr:row>
      <xdr:rowOff>104322</xdr:rowOff>
    </xdr:to>
    <xdr:grpSp>
      <xdr:nvGrpSpPr>
        <xdr:cNvPr id="12" name="Group 11">
          <a:extLst>
            <a:ext uri="{FF2B5EF4-FFF2-40B4-BE49-F238E27FC236}">
              <a16:creationId xmlns:a16="http://schemas.microsoft.com/office/drawing/2014/main" id="{00000000-0008-0000-0300-00000C000000}"/>
            </a:ext>
          </a:extLst>
        </xdr:cNvPr>
        <xdr:cNvGrpSpPr/>
      </xdr:nvGrpSpPr>
      <xdr:grpSpPr>
        <a:xfrm>
          <a:off x="9555163" y="1367972"/>
          <a:ext cx="285750" cy="252413"/>
          <a:chOff x="7639050" y="838200"/>
          <a:chExt cx="285750" cy="254000"/>
        </a:xfrm>
      </xdr:grpSpPr>
      <xdr:sp macro="" textlink="">
        <xdr:nvSpPr>
          <xdr:cNvPr id="13" name="Oval 12">
            <a:extLst>
              <a:ext uri="{FF2B5EF4-FFF2-40B4-BE49-F238E27FC236}">
                <a16:creationId xmlns:a16="http://schemas.microsoft.com/office/drawing/2014/main" id="{00000000-0008-0000-0300-00000D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2</a:t>
            </a:r>
          </a:p>
        </xdr:txBody>
      </xdr:sp>
    </xdr:grpSp>
    <xdr:clientData/>
  </xdr:twoCellAnchor>
  <xdr:twoCellAnchor>
    <xdr:from>
      <xdr:col>1</xdr:col>
      <xdr:colOff>7054</xdr:colOff>
      <xdr:row>24</xdr:row>
      <xdr:rowOff>112884</xdr:rowOff>
    </xdr:from>
    <xdr:to>
      <xdr:col>8</xdr:col>
      <xdr:colOff>4</xdr:colOff>
      <xdr:row>37</xdr:row>
      <xdr:rowOff>0</xdr:rowOff>
    </xdr:to>
    <xdr:grpSp>
      <xdr:nvGrpSpPr>
        <xdr:cNvPr id="22" name="Group 21">
          <a:extLst>
            <a:ext uri="{FF2B5EF4-FFF2-40B4-BE49-F238E27FC236}">
              <a16:creationId xmlns:a16="http://schemas.microsoft.com/office/drawing/2014/main" id="{00000000-0008-0000-0300-000016000000}"/>
            </a:ext>
          </a:extLst>
        </xdr:cNvPr>
        <xdr:cNvGrpSpPr/>
      </xdr:nvGrpSpPr>
      <xdr:grpSpPr>
        <a:xfrm>
          <a:off x="261054" y="4621384"/>
          <a:ext cx="4469700" cy="2347741"/>
          <a:chOff x="261054" y="4120440"/>
          <a:chExt cx="4240394" cy="2286004"/>
        </a:xfrm>
      </xdr:grpSpPr>
      <xdr:graphicFrame macro="">
        <xdr:nvGraphicFramePr>
          <xdr:cNvPr id="15" name="Chart 14">
            <a:extLst>
              <a:ext uri="{FF2B5EF4-FFF2-40B4-BE49-F238E27FC236}">
                <a16:creationId xmlns:a16="http://schemas.microsoft.com/office/drawing/2014/main" id="{00000000-0008-0000-0300-00000F000000}"/>
              </a:ext>
            </a:extLst>
          </xdr:cNvPr>
          <xdr:cNvGraphicFramePr>
            <a:graphicFrameLocks/>
          </xdr:cNvGraphicFramePr>
        </xdr:nvGraphicFramePr>
        <xdr:xfrm>
          <a:off x="261054" y="4191001"/>
          <a:ext cx="4141612" cy="2215443"/>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9" name="TextBox 18">
            <a:extLst>
              <a:ext uri="{FF2B5EF4-FFF2-40B4-BE49-F238E27FC236}">
                <a16:creationId xmlns:a16="http://schemas.microsoft.com/office/drawing/2014/main" id="{00000000-0008-0000-0300-000013000000}"/>
              </a:ext>
            </a:extLst>
          </xdr:cNvPr>
          <xdr:cNvSpPr txBox="1"/>
        </xdr:nvSpPr>
        <xdr:spPr>
          <a:xfrm>
            <a:off x="4141614" y="4120440"/>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A)</a:t>
            </a:r>
          </a:p>
        </xdr:txBody>
      </xdr:sp>
    </xdr:grpSp>
    <xdr:clientData/>
  </xdr:twoCellAnchor>
  <xdr:twoCellAnchor>
    <xdr:from>
      <xdr:col>8</xdr:col>
      <xdr:colOff>91723</xdr:colOff>
      <xdr:row>24</xdr:row>
      <xdr:rowOff>110063</xdr:rowOff>
    </xdr:from>
    <xdr:to>
      <xdr:col>15</xdr:col>
      <xdr:colOff>95955</xdr:colOff>
      <xdr:row>36</xdr:row>
      <xdr:rowOff>176388</xdr:rowOff>
    </xdr:to>
    <xdr:grpSp>
      <xdr:nvGrpSpPr>
        <xdr:cNvPr id="21" name="Group 20">
          <a:extLst>
            <a:ext uri="{FF2B5EF4-FFF2-40B4-BE49-F238E27FC236}">
              <a16:creationId xmlns:a16="http://schemas.microsoft.com/office/drawing/2014/main" id="{00000000-0008-0000-0300-000015000000}"/>
            </a:ext>
          </a:extLst>
        </xdr:cNvPr>
        <xdr:cNvGrpSpPr/>
      </xdr:nvGrpSpPr>
      <xdr:grpSpPr>
        <a:xfrm>
          <a:off x="4822473" y="4618563"/>
          <a:ext cx="4560357" cy="2336450"/>
          <a:chOff x="4593167" y="4117619"/>
          <a:chExt cx="4251677" cy="2281769"/>
        </a:xfrm>
      </xdr:grpSpPr>
      <xdr:graphicFrame macro="">
        <xdr:nvGraphicFramePr>
          <xdr:cNvPr id="16" name="Chart 15">
            <a:extLst>
              <a:ext uri="{FF2B5EF4-FFF2-40B4-BE49-F238E27FC236}">
                <a16:creationId xmlns:a16="http://schemas.microsoft.com/office/drawing/2014/main" id="{00000000-0008-0000-0300-000010000000}"/>
              </a:ext>
            </a:extLst>
          </xdr:cNvPr>
          <xdr:cNvGraphicFramePr>
            <a:graphicFrameLocks/>
          </xdr:cNvGraphicFramePr>
        </xdr:nvGraphicFramePr>
        <xdr:xfrm>
          <a:off x="4593167" y="4183944"/>
          <a:ext cx="4155722" cy="2215444"/>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8485010" y="4117619"/>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B)</a:t>
            </a:r>
          </a:p>
        </xdr:txBody>
      </xdr:sp>
    </xdr:grpSp>
    <xdr:clientData/>
  </xdr:twoCellAnchor>
  <xdr:twoCellAnchor>
    <xdr:from>
      <xdr:col>1</xdr:col>
      <xdr:colOff>0</xdr:colOff>
      <xdr:row>37</xdr:row>
      <xdr:rowOff>105826</xdr:rowOff>
    </xdr:from>
    <xdr:to>
      <xdr:col>8</xdr:col>
      <xdr:colOff>7055</xdr:colOff>
      <xdr:row>50</xdr:row>
      <xdr:rowOff>14111</xdr:rowOff>
    </xdr:to>
    <xdr:grpSp>
      <xdr:nvGrpSpPr>
        <xdr:cNvPr id="24" name="Group 23">
          <a:extLst>
            <a:ext uri="{FF2B5EF4-FFF2-40B4-BE49-F238E27FC236}">
              <a16:creationId xmlns:a16="http://schemas.microsoft.com/office/drawing/2014/main" id="{00000000-0008-0000-0300-000018000000}"/>
            </a:ext>
          </a:extLst>
        </xdr:cNvPr>
        <xdr:cNvGrpSpPr/>
      </xdr:nvGrpSpPr>
      <xdr:grpSpPr>
        <a:xfrm>
          <a:off x="254000" y="7074951"/>
          <a:ext cx="4483805" cy="2345098"/>
          <a:chOff x="254000" y="6512270"/>
          <a:chExt cx="4254499" cy="2293063"/>
        </a:xfrm>
      </xdr:grpSpPr>
      <xdr:graphicFrame macro="">
        <xdr:nvGraphicFramePr>
          <xdr:cNvPr id="17" name="Chart 16">
            <a:extLst>
              <a:ext uri="{FF2B5EF4-FFF2-40B4-BE49-F238E27FC236}">
                <a16:creationId xmlns:a16="http://schemas.microsoft.com/office/drawing/2014/main" id="{00000000-0008-0000-0300-000011000000}"/>
              </a:ext>
            </a:extLst>
          </xdr:cNvPr>
          <xdr:cNvGraphicFramePr>
            <a:graphicFrameLocks/>
          </xdr:cNvGraphicFramePr>
        </xdr:nvGraphicFramePr>
        <xdr:xfrm>
          <a:off x="254000" y="6589889"/>
          <a:ext cx="4155722" cy="2215444"/>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4148665" y="6512270"/>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C)</a:t>
            </a:r>
          </a:p>
        </xdr:txBody>
      </xdr:sp>
    </xdr:grpSp>
    <xdr:clientData/>
  </xdr:twoCellAnchor>
  <xdr:twoCellAnchor>
    <xdr:from>
      <xdr:col>8</xdr:col>
      <xdr:colOff>105833</xdr:colOff>
      <xdr:row>37</xdr:row>
      <xdr:rowOff>119933</xdr:rowOff>
    </xdr:from>
    <xdr:to>
      <xdr:col>15</xdr:col>
      <xdr:colOff>105833</xdr:colOff>
      <xdr:row>50</xdr:row>
      <xdr:rowOff>21167</xdr:rowOff>
    </xdr:to>
    <xdr:grpSp>
      <xdr:nvGrpSpPr>
        <xdr:cNvPr id="26" name="Group 25">
          <a:extLst>
            <a:ext uri="{FF2B5EF4-FFF2-40B4-BE49-F238E27FC236}">
              <a16:creationId xmlns:a16="http://schemas.microsoft.com/office/drawing/2014/main" id="{00000000-0008-0000-0300-00001A000000}"/>
            </a:ext>
          </a:extLst>
        </xdr:cNvPr>
        <xdr:cNvGrpSpPr/>
      </xdr:nvGrpSpPr>
      <xdr:grpSpPr>
        <a:xfrm>
          <a:off x="4836583" y="7089058"/>
          <a:ext cx="4556125" cy="2338047"/>
          <a:chOff x="4607277" y="6526377"/>
          <a:chExt cx="4247445" cy="2286012"/>
        </a:xfrm>
      </xdr:grpSpPr>
      <xdr:graphicFrame macro="">
        <xdr:nvGraphicFramePr>
          <xdr:cNvPr id="18" name="Chart 17">
            <a:extLst>
              <a:ext uri="{FF2B5EF4-FFF2-40B4-BE49-F238E27FC236}">
                <a16:creationId xmlns:a16="http://schemas.microsoft.com/office/drawing/2014/main" id="{00000000-0008-0000-0300-000012000000}"/>
              </a:ext>
            </a:extLst>
          </xdr:cNvPr>
          <xdr:cNvGraphicFramePr>
            <a:graphicFrameLocks/>
          </xdr:cNvGraphicFramePr>
        </xdr:nvGraphicFramePr>
        <xdr:xfrm>
          <a:off x="4607277" y="6596945"/>
          <a:ext cx="4155722" cy="2215444"/>
        </xdr:xfrm>
        <a:graphic>
          <a:graphicData uri="http://schemas.openxmlformats.org/drawingml/2006/chart">
            <c:chart xmlns:c="http://schemas.openxmlformats.org/drawingml/2006/chart" xmlns:r="http://schemas.openxmlformats.org/officeDocument/2006/relationships" r:id="rId6"/>
          </a:graphicData>
        </a:graphic>
      </xdr:graphicFrame>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8494888" y="6526377"/>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D)</a:t>
            </a:r>
          </a:p>
        </xdr:txBody>
      </xdr:sp>
    </xdr:grpSp>
    <xdr:clientData/>
  </xdr:twoCellAnchor>
  <xdr:twoCellAnchor>
    <xdr:from>
      <xdr:col>1</xdr:col>
      <xdr:colOff>1</xdr:colOff>
      <xdr:row>53</xdr:row>
      <xdr:rowOff>117928</xdr:rowOff>
    </xdr:from>
    <xdr:to>
      <xdr:col>7</xdr:col>
      <xdr:colOff>600737</xdr:colOff>
      <xdr:row>66</xdr:row>
      <xdr:rowOff>9071</xdr:rowOff>
    </xdr:to>
    <xdr:grpSp>
      <xdr:nvGrpSpPr>
        <xdr:cNvPr id="27" name="Group 26">
          <a:extLst>
            <a:ext uri="{FF2B5EF4-FFF2-40B4-BE49-F238E27FC236}">
              <a16:creationId xmlns:a16="http://schemas.microsoft.com/office/drawing/2014/main" id="{00000000-0008-0000-0300-00001B000000}"/>
            </a:ext>
          </a:extLst>
        </xdr:cNvPr>
        <xdr:cNvGrpSpPr/>
      </xdr:nvGrpSpPr>
      <xdr:grpSpPr>
        <a:xfrm>
          <a:off x="254001" y="10127116"/>
          <a:ext cx="4466299" cy="2462893"/>
          <a:chOff x="261054" y="4120440"/>
          <a:chExt cx="4240394" cy="2286004"/>
        </a:xfrm>
      </xdr:grpSpPr>
      <xdr:graphicFrame macro="">
        <xdr:nvGraphicFramePr>
          <xdr:cNvPr id="28" name="Chart 27">
            <a:extLst>
              <a:ext uri="{FF2B5EF4-FFF2-40B4-BE49-F238E27FC236}">
                <a16:creationId xmlns:a16="http://schemas.microsoft.com/office/drawing/2014/main" id="{00000000-0008-0000-0300-00001C000000}"/>
              </a:ext>
            </a:extLst>
          </xdr:cNvPr>
          <xdr:cNvGraphicFramePr>
            <a:graphicFrameLocks/>
          </xdr:cNvGraphicFramePr>
        </xdr:nvGraphicFramePr>
        <xdr:xfrm>
          <a:off x="261054" y="4191001"/>
          <a:ext cx="4141612" cy="2215443"/>
        </xdr:xfrm>
        <a:graphic>
          <a:graphicData uri="http://schemas.openxmlformats.org/drawingml/2006/chart">
            <c:chart xmlns:c="http://schemas.openxmlformats.org/drawingml/2006/chart" xmlns:r="http://schemas.openxmlformats.org/officeDocument/2006/relationships" r:id="rId7"/>
          </a:graphicData>
        </a:graphic>
      </xdr:graphicFrame>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4141614" y="4120440"/>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A)</a:t>
            </a:r>
          </a:p>
        </xdr:txBody>
      </xdr:sp>
    </xdr:grpSp>
    <xdr:clientData/>
  </xdr:twoCellAnchor>
  <xdr:twoCellAnchor>
    <xdr:from>
      <xdr:col>8</xdr:col>
      <xdr:colOff>99785</xdr:colOff>
      <xdr:row>53</xdr:row>
      <xdr:rowOff>127000</xdr:rowOff>
    </xdr:from>
    <xdr:to>
      <xdr:col>15</xdr:col>
      <xdr:colOff>104017</xdr:colOff>
      <xdr:row>66</xdr:row>
      <xdr:rowOff>18142</xdr:rowOff>
    </xdr:to>
    <xdr:grpSp>
      <xdr:nvGrpSpPr>
        <xdr:cNvPr id="30" name="Group 29">
          <a:extLst>
            <a:ext uri="{FF2B5EF4-FFF2-40B4-BE49-F238E27FC236}">
              <a16:creationId xmlns:a16="http://schemas.microsoft.com/office/drawing/2014/main" id="{00000000-0008-0000-0300-00001E000000}"/>
            </a:ext>
          </a:extLst>
        </xdr:cNvPr>
        <xdr:cNvGrpSpPr/>
      </xdr:nvGrpSpPr>
      <xdr:grpSpPr>
        <a:xfrm>
          <a:off x="4830535" y="10136188"/>
          <a:ext cx="4560357" cy="2462892"/>
          <a:chOff x="4593167" y="4117619"/>
          <a:chExt cx="4251677" cy="2281769"/>
        </a:xfrm>
      </xdr:grpSpPr>
      <xdr:graphicFrame macro="">
        <xdr:nvGraphicFramePr>
          <xdr:cNvPr id="31" name="Chart 30">
            <a:extLst>
              <a:ext uri="{FF2B5EF4-FFF2-40B4-BE49-F238E27FC236}">
                <a16:creationId xmlns:a16="http://schemas.microsoft.com/office/drawing/2014/main" id="{00000000-0008-0000-0300-00001F000000}"/>
              </a:ext>
            </a:extLst>
          </xdr:cNvPr>
          <xdr:cNvGraphicFramePr>
            <a:graphicFrameLocks/>
          </xdr:cNvGraphicFramePr>
        </xdr:nvGraphicFramePr>
        <xdr:xfrm>
          <a:off x="4593167" y="4183944"/>
          <a:ext cx="4155722" cy="2215444"/>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32" name="TextBox 31">
            <a:extLst>
              <a:ext uri="{FF2B5EF4-FFF2-40B4-BE49-F238E27FC236}">
                <a16:creationId xmlns:a16="http://schemas.microsoft.com/office/drawing/2014/main" id="{00000000-0008-0000-0300-000020000000}"/>
              </a:ext>
            </a:extLst>
          </xdr:cNvPr>
          <xdr:cNvSpPr txBox="1"/>
        </xdr:nvSpPr>
        <xdr:spPr>
          <a:xfrm>
            <a:off x="8485010" y="4117619"/>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B)</a:t>
            </a:r>
          </a:p>
        </xdr:txBody>
      </xdr:sp>
    </xdr:grpSp>
    <xdr:clientData/>
  </xdr:twoCellAnchor>
  <xdr:twoCellAnchor>
    <xdr:from>
      <xdr:col>1</xdr:col>
      <xdr:colOff>0</xdr:colOff>
      <xdr:row>66</xdr:row>
      <xdr:rowOff>199571</xdr:rowOff>
    </xdr:from>
    <xdr:to>
      <xdr:col>8</xdr:col>
      <xdr:colOff>7055</xdr:colOff>
      <xdr:row>79</xdr:row>
      <xdr:rowOff>0</xdr:rowOff>
    </xdr:to>
    <xdr:grpSp>
      <xdr:nvGrpSpPr>
        <xdr:cNvPr id="33" name="Group 32">
          <a:extLst>
            <a:ext uri="{FF2B5EF4-FFF2-40B4-BE49-F238E27FC236}">
              <a16:creationId xmlns:a16="http://schemas.microsoft.com/office/drawing/2014/main" id="{00000000-0008-0000-0300-000021000000}"/>
            </a:ext>
          </a:extLst>
        </xdr:cNvPr>
        <xdr:cNvGrpSpPr/>
      </xdr:nvGrpSpPr>
      <xdr:grpSpPr>
        <a:xfrm>
          <a:off x="254000" y="12780509"/>
          <a:ext cx="4483805" cy="2284866"/>
          <a:chOff x="254000" y="6539459"/>
          <a:chExt cx="4254499" cy="2265874"/>
        </a:xfrm>
      </xdr:grpSpPr>
      <xdr:graphicFrame macro="">
        <xdr:nvGraphicFramePr>
          <xdr:cNvPr id="34" name="Chart 33">
            <a:extLst>
              <a:ext uri="{FF2B5EF4-FFF2-40B4-BE49-F238E27FC236}">
                <a16:creationId xmlns:a16="http://schemas.microsoft.com/office/drawing/2014/main" id="{00000000-0008-0000-0300-000022000000}"/>
              </a:ext>
            </a:extLst>
          </xdr:cNvPr>
          <xdr:cNvGraphicFramePr>
            <a:graphicFrameLocks/>
          </xdr:cNvGraphicFramePr>
        </xdr:nvGraphicFramePr>
        <xdr:xfrm>
          <a:off x="254000" y="6589889"/>
          <a:ext cx="4155722" cy="2215444"/>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35" name="TextBox 34">
            <a:extLst>
              <a:ext uri="{FF2B5EF4-FFF2-40B4-BE49-F238E27FC236}">
                <a16:creationId xmlns:a16="http://schemas.microsoft.com/office/drawing/2014/main" id="{00000000-0008-0000-0300-000023000000}"/>
              </a:ext>
            </a:extLst>
          </xdr:cNvPr>
          <xdr:cNvSpPr txBox="1"/>
        </xdr:nvSpPr>
        <xdr:spPr>
          <a:xfrm>
            <a:off x="4148665" y="6539459"/>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C)</a:t>
            </a:r>
          </a:p>
        </xdr:txBody>
      </xdr:sp>
    </xdr:grpSp>
    <xdr:clientData/>
  </xdr:twoCellAnchor>
  <xdr:twoCellAnchor>
    <xdr:from>
      <xdr:col>8</xdr:col>
      <xdr:colOff>90715</xdr:colOff>
      <xdr:row>66</xdr:row>
      <xdr:rowOff>190498</xdr:rowOff>
    </xdr:from>
    <xdr:to>
      <xdr:col>15</xdr:col>
      <xdr:colOff>90715</xdr:colOff>
      <xdr:row>79</xdr:row>
      <xdr:rowOff>0</xdr:rowOff>
    </xdr:to>
    <xdr:grpSp>
      <xdr:nvGrpSpPr>
        <xdr:cNvPr id="36" name="Group 35">
          <a:extLst>
            <a:ext uri="{FF2B5EF4-FFF2-40B4-BE49-F238E27FC236}">
              <a16:creationId xmlns:a16="http://schemas.microsoft.com/office/drawing/2014/main" id="{00000000-0008-0000-0300-000024000000}"/>
            </a:ext>
          </a:extLst>
        </xdr:cNvPr>
        <xdr:cNvGrpSpPr/>
      </xdr:nvGrpSpPr>
      <xdr:grpSpPr>
        <a:xfrm>
          <a:off x="4821465" y="12771436"/>
          <a:ext cx="4556125" cy="2293939"/>
          <a:chOff x="4697841" y="6472821"/>
          <a:chExt cx="4247444" cy="2277087"/>
        </a:xfrm>
      </xdr:grpSpPr>
      <xdr:graphicFrame macro="">
        <xdr:nvGraphicFramePr>
          <xdr:cNvPr id="37" name="Chart 36">
            <a:extLst>
              <a:ext uri="{FF2B5EF4-FFF2-40B4-BE49-F238E27FC236}">
                <a16:creationId xmlns:a16="http://schemas.microsoft.com/office/drawing/2014/main" id="{00000000-0008-0000-0300-000025000000}"/>
              </a:ext>
            </a:extLst>
          </xdr:cNvPr>
          <xdr:cNvGraphicFramePr>
            <a:graphicFrameLocks/>
          </xdr:cNvGraphicFramePr>
        </xdr:nvGraphicFramePr>
        <xdr:xfrm>
          <a:off x="4697841" y="6534464"/>
          <a:ext cx="4155722" cy="2215444"/>
        </xdr:xfrm>
        <a:graphic>
          <a:graphicData uri="http://schemas.openxmlformats.org/drawingml/2006/chart">
            <c:chart xmlns:c="http://schemas.openxmlformats.org/drawingml/2006/chart" xmlns:r="http://schemas.openxmlformats.org/officeDocument/2006/relationships" r:id="rId10"/>
          </a:graphicData>
        </a:graphic>
      </xdr:graphicFrame>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8585451" y="6472821"/>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D)</a:t>
            </a:r>
          </a:p>
        </xdr:txBody>
      </xdr:sp>
    </xdr:grpSp>
    <xdr:clientData/>
  </xdr:twoCellAnchor>
  <xdr:twoCellAnchor>
    <xdr:from>
      <xdr:col>8</xdr:col>
      <xdr:colOff>312133</xdr:colOff>
      <xdr:row>10</xdr:row>
      <xdr:rowOff>75645</xdr:rowOff>
    </xdr:from>
    <xdr:to>
      <xdr:col>8</xdr:col>
      <xdr:colOff>595060</xdr:colOff>
      <xdr:row>11</xdr:row>
      <xdr:rowOff>148216</xdr:rowOff>
    </xdr:to>
    <xdr:grpSp>
      <xdr:nvGrpSpPr>
        <xdr:cNvPr id="39" name="Group 38">
          <a:extLst>
            <a:ext uri="{FF2B5EF4-FFF2-40B4-BE49-F238E27FC236}">
              <a16:creationId xmlns:a16="http://schemas.microsoft.com/office/drawing/2014/main" id="{00000000-0008-0000-0300-000027000000}"/>
            </a:ext>
          </a:extLst>
        </xdr:cNvPr>
        <xdr:cNvGrpSpPr/>
      </xdr:nvGrpSpPr>
      <xdr:grpSpPr>
        <a:xfrm>
          <a:off x="5042883" y="1956833"/>
          <a:ext cx="282927" cy="255133"/>
          <a:chOff x="7639050" y="838200"/>
          <a:chExt cx="285750" cy="254000"/>
        </a:xfrm>
      </xdr:grpSpPr>
      <xdr:sp macro="" textlink="">
        <xdr:nvSpPr>
          <xdr:cNvPr id="40" name="Oval 39">
            <a:extLst>
              <a:ext uri="{FF2B5EF4-FFF2-40B4-BE49-F238E27FC236}">
                <a16:creationId xmlns:a16="http://schemas.microsoft.com/office/drawing/2014/main" id="{00000000-0008-0000-0300-000028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41" name="TextBox 40">
            <a:extLst>
              <a:ext uri="{FF2B5EF4-FFF2-40B4-BE49-F238E27FC236}">
                <a16:creationId xmlns:a16="http://schemas.microsoft.com/office/drawing/2014/main" id="{00000000-0008-0000-0300-000029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3</a:t>
            </a:r>
          </a:p>
        </xdr:txBody>
      </xdr:sp>
    </xdr:grpSp>
    <xdr:clientData/>
  </xdr:twoCellAnchor>
  <xdr:twoCellAnchor>
    <xdr:from>
      <xdr:col>16</xdr:col>
      <xdr:colOff>36286</xdr:colOff>
      <xdr:row>11</xdr:row>
      <xdr:rowOff>36286</xdr:rowOff>
    </xdr:from>
    <xdr:to>
      <xdr:col>16</xdr:col>
      <xdr:colOff>322036</xdr:colOff>
      <xdr:row>12</xdr:row>
      <xdr:rowOff>106135</xdr:rowOff>
    </xdr:to>
    <xdr:grpSp>
      <xdr:nvGrpSpPr>
        <xdr:cNvPr id="42" name="Group 41">
          <a:extLst>
            <a:ext uri="{FF2B5EF4-FFF2-40B4-BE49-F238E27FC236}">
              <a16:creationId xmlns:a16="http://schemas.microsoft.com/office/drawing/2014/main" id="{00000000-0008-0000-0300-00002A000000}"/>
            </a:ext>
          </a:extLst>
        </xdr:cNvPr>
        <xdr:cNvGrpSpPr/>
      </xdr:nvGrpSpPr>
      <xdr:grpSpPr>
        <a:xfrm>
          <a:off x="9553349" y="2100036"/>
          <a:ext cx="285750" cy="252412"/>
          <a:chOff x="7639050" y="838200"/>
          <a:chExt cx="285750" cy="254000"/>
        </a:xfrm>
      </xdr:grpSpPr>
      <xdr:sp macro="" textlink="">
        <xdr:nvSpPr>
          <xdr:cNvPr id="43" name="Oval 42">
            <a:extLst>
              <a:ext uri="{FF2B5EF4-FFF2-40B4-BE49-F238E27FC236}">
                <a16:creationId xmlns:a16="http://schemas.microsoft.com/office/drawing/2014/main" id="{00000000-0008-0000-0300-00002B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44" name="TextBox 43">
            <a:extLst>
              <a:ext uri="{FF2B5EF4-FFF2-40B4-BE49-F238E27FC236}">
                <a16:creationId xmlns:a16="http://schemas.microsoft.com/office/drawing/2014/main" id="{00000000-0008-0000-0300-00002C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3</a:t>
            </a:r>
          </a:p>
        </xdr:txBody>
      </xdr:sp>
    </xdr:grpSp>
    <xdr:clientData/>
  </xdr:twoCellAnchor>
  <xdr:twoCellAnchor>
    <xdr:from>
      <xdr:col>10</xdr:col>
      <xdr:colOff>383442</xdr:colOff>
      <xdr:row>4</xdr:row>
      <xdr:rowOff>152299</xdr:rowOff>
    </xdr:from>
    <xdr:to>
      <xdr:col>11</xdr:col>
      <xdr:colOff>60254</xdr:colOff>
      <xdr:row>6</xdr:row>
      <xdr:rowOff>39174</xdr:rowOff>
    </xdr:to>
    <xdr:grpSp>
      <xdr:nvGrpSpPr>
        <xdr:cNvPr id="45" name="Group 44">
          <a:extLst>
            <a:ext uri="{FF2B5EF4-FFF2-40B4-BE49-F238E27FC236}">
              <a16:creationId xmlns:a16="http://schemas.microsoft.com/office/drawing/2014/main" id="{00000000-0008-0000-0300-00002D000000}"/>
            </a:ext>
          </a:extLst>
        </xdr:cNvPr>
        <xdr:cNvGrpSpPr/>
      </xdr:nvGrpSpPr>
      <xdr:grpSpPr>
        <a:xfrm>
          <a:off x="6336567" y="938112"/>
          <a:ext cx="288000" cy="252000"/>
          <a:chOff x="7639050" y="838200"/>
          <a:chExt cx="285750" cy="254000"/>
        </a:xfrm>
      </xdr:grpSpPr>
      <xdr:sp macro="" textlink="">
        <xdr:nvSpPr>
          <xdr:cNvPr id="46" name="Oval 45">
            <a:extLst>
              <a:ext uri="{FF2B5EF4-FFF2-40B4-BE49-F238E27FC236}">
                <a16:creationId xmlns:a16="http://schemas.microsoft.com/office/drawing/2014/main" id="{00000000-0008-0000-0300-00002E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47" name="TextBox 46">
            <a:extLst>
              <a:ext uri="{FF2B5EF4-FFF2-40B4-BE49-F238E27FC236}">
                <a16:creationId xmlns:a16="http://schemas.microsoft.com/office/drawing/2014/main" id="{00000000-0008-0000-0300-00002F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4</a:t>
            </a:r>
          </a:p>
        </xdr:txBody>
      </xdr:sp>
    </xdr:grpSp>
    <xdr:clientData/>
  </xdr:twoCellAnchor>
  <xdr:twoCellAnchor>
    <xdr:from>
      <xdr:col>14</xdr:col>
      <xdr:colOff>366032</xdr:colOff>
      <xdr:row>79</xdr:row>
      <xdr:rowOff>152507</xdr:rowOff>
    </xdr:from>
    <xdr:to>
      <xdr:col>15</xdr:col>
      <xdr:colOff>131245</xdr:colOff>
      <xdr:row>81</xdr:row>
      <xdr:rowOff>39095</xdr:rowOff>
    </xdr:to>
    <xdr:sp macro="" textlink="">
      <xdr:nvSpPr>
        <xdr:cNvPr id="50" name="TextBox 49">
          <a:extLst>
            <a:ext uri="{FF2B5EF4-FFF2-40B4-BE49-F238E27FC236}">
              <a16:creationId xmlns:a16="http://schemas.microsoft.com/office/drawing/2014/main" id="{00000000-0008-0000-0300-000032000000}"/>
            </a:ext>
          </a:extLst>
        </xdr:cNvPr>
        <xdr:cNvSpPr txBox="1"/>
      </xdr:nvSpPr>
      <xdr:spPr>
        <a:xfrm>
          <a:off x="8947603" y="14948007"/>
          <a:ext cx="372999" cy="303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F)</a:t>
          </a:r>
        </a:p>
      </xdr:txBody>
    </xdr:sp>
    <xdr:clientData/>
  </xdr:twoCellAnchor>
  <xdr:twoCellAnchor>
    <xdr:from>
      <xdr:col>0</xdr:col>
      <xdr:colOff>243115</xdr:colOff>
      <xdr:row>79</xdr:row>
      <xdr:rowOff>143326</xdr:rowOff>
    </xdr:from>
    <xdr:to>
      <xdr:col>7</xdr:col>
      <xdr:colOff>605975</xdr:colOff>
      <xdr:row>92</xdr:row>
      <xdr:rowOff>43542</xdr:rowOff>
    </xdr:to>
    <xdr:grpSp>
      <xdr:nvGrpSpPr>
        <xdr:cNvPr id="51" name="Group 50">
          <a:extLst>
            <a:ext uri="{FF2B5EF4-FFF2-40B4-BE49-F238E27FC236}">
              <a16:creationId xmlns:a16="http://schemas.microsoft.com/office/drawing/2014/main" id="{00000000-0008-0000-0300-000033000000}"/>
            </a:ext>
          </a:extLst>
        </xdr:cNvPr>
        <xdr:cNvGrpSpPr/>
      </xdr:nvGrpSpPr>
      <xdr:grpSpPr>
        <a:xfrm>
          <a:off x="243115" y="15208701"/>
          <a:ext cx="4482423" cy="2329091"/>
          <a:chOff x="196819" y="8740834"/>
          <a:chExt cx="4256503" cy="2258942"/>
        </a:xfrm>
      </xdr:grpSpPr>
      <xdr:graphicFrame macro="">
        <xdr:nvGraphicFramePr>
          <xdr:cNvPr id="52" name="Chart 51">
            <a:extLst>
              <a:ext uri="{FF2B5EF4-FFF2-40B4-BE49-F238E27FC236}">
                <a16:creationId xmlns:a16="http://schemas.microsoft.com/office/drawing/2014/main" id="{00000000-0008-0000-0300-000034000000}"/>
              </a:ext>
            </a:extLst>
          </xdr:cNvPr>
          <xdr:cNvGraphicFramePr>
            <a:graphicFrameLocks/>
          </xdr:cNvGraphicFramePr>
        </xdr:nvGraphicFramePr>
        <xdr:xfrm>
          <a:off x="196819" y="8784332"/>
          <a:ext cx="4155722" cy="2215444"/>
        </xdr:xfrm>
        <a:graphic>
          <a:graphicData uri="http://schemas.openxmlformats.org/drawingml/2006/chart">
            <c:chart xmlns:c="http://schemas.openxmlformats.org/drawingml/2006/chart" xmlns:r="http://schemas.openxmlformats.org/officeDocument/2006/relationships" r:id="rId11"/>
          </a:graphicData>
        </a:graphic>
      </xdr:graphicFrame>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4093488" y="8740834"/>
            <a:ext cx="35983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E)</a:t>
            </a:r>
          </a:p>
        </xdr:txBody>
      </xdr:sp>
    </xdr:grpSp>
    <xdr:clientData/>
  </xdr:twoCellAnchor>
  <xdr:twoCellAnchor>
    <xdr:from>
      <xdr:col>16</xdr:col>
      <xdr:colOff>52614</xdr:colOff>
      <xdr:row>14</xdr:row>
      <xdr:rowOff>34471</xdr:rowOff>
    </xdr:from>
    <xdr:to>
      <xdr:col>17</xdr:col>
      <xdr:colOff>11792</xdr:colOff>
      <xdr:row>15</xdr:row>
      <xdr:rowOff>104321</xdr:rowOff>
    </xdr:to>
    <xdr:grpSp>
      <xdr:nvGrpSpPr>
        <xdr:cNvPr id="54" name="Group 53">
          <a:extLst>
            <a:ext uri="{FF2B5EF4-FFF2-40B4-BE49-F238E27FC236}">
              <a16:creationId xmlns:a16="http://schemas.microsoft.com/office/drawing/2014/main" id="{00000000-0008-0000-0300-000036000000}"/>
            </a:ext>
          </a:extLst>
        </xdr:cNvPr>
        <xdr:cNvGrpSpPr/>
      </xdr:nvGrpSpPr>
      <xdr:grpSpPr>
        <a:xfrm>
          <a:off x="9569677" y="2645909"/>
          <a:ext cx="284615" cy="252412"/>
          <a:chOff x="7639050" y="838200"/>
          <a:chExt cx="285750" cy="254000"/>
        </a:xfrm>
      </xdr:grpSpPr>
      <xdr:sp macro="" textlink="">
        <xdr:nvSpPr>
          <xdr:cNvPr id="55" name="Oval 54">
            <a:extLst>
              <a:ext uri="{FF2B5EF4-FFF2-40B4-BE49-F238E27FC236}">
                <a16:creationId xmlns:a16="http://schemas.microsoft.com/office/drawing/2014/main" id="{00000000-0008-0000-0300-000037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56" name="TextBox 55">
            <a:extLst>
              <a:ext uri="{FF2B5EF4-FFF2-40B4-BE49-F238E27FC236}">
                <a16:creationId xmlns:a16="http://schemas.microsoft.com/office/drawing/2014/main" id="{00000000-0008-0000-0300-000038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4</a:t>
            </a:r>
          </a:p>
        </xdr:txBody>
      </xdr:sp>
    </xdr:grpSp>
    <xdr:clientData/>
  </xdr:twoCellAnchor>
  <xdr:twoCellAnchor>
    <xdr:from>
      <xdr:col>13</xdr:col>
      <xdr:colOff>654906</xdr:colOff>
      <xdr:row>4</xdr:row>
      <xdr:rowOff>140279</xdr:rowOff>
    </xdr:from>
    <xdr:to>
      <xdr:col>14</xdr:col>
      <xdr:colOff>109468</xdr:colOff>
      <xdr:row>6</xdr:row>
      <xdr:rowOff>27154</xdr:rowOff>
    </xdr:to>
    <xdr:grpSp>
      <xdr:nvGrpSpPr>
        <xdr:cNvPr id="58" name="Group 57">
          <a:extLst>
            <a:ext uri="{FF2B5EF4-FFF2-40B4-BE49-F238E27FC236}">
              <a16:creationId xmlns:a16="http://schemas.microsoft.com/office/drawing/2014/main" id="{00000000-0008-0000-0300-00003A000000}"/>
            </a:ext>
          </a:extLst>
        </xdr:cNvPr>
        <xdr:cNvGrpSpPr/>
      </xdr:nvGrpSpPr>
      <xdr:grpSpPr>
        <a:xfrm>
          <a:off x="8433656" y="926092"/>
          <a:ext cx="288000" cy="252000"/>
          <a:chOff x="7639050" y="838200"/>
          <a:chExt cx="285750" cy="254000"/>
        </a:xfrm>
      </xdr:grpSpPr>
      <xdr:sp macro="" textlink="">
        <xdr:nvSpPr>
          <xdr:cNvPr id="59" name="Oval 58">
            <a:extLst>
              <a:ext uri="{FF2B5EF4-FFF2-40B4-BE49-F238E27FC236}">
                <a16:creationId xmlns:a16="http://schemas.microsoft.com/office/drawing/2014/main" id="{00000000-0008-0000-0300-00003B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60" name="TextBox 59">
            <a:extLst>
              <a:ext uri="{FF2B5EF4-FFF2-40B4-BE49-F238E27FC236}">
                <a16:creationId xmlns:a16="http://schemas.microsoft.com/office/drawing/2014/main" id="{00000000-0008-0000-0300-00003C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5</a:t>
            </a:r>
          </a:p>
        </xdr:txBody>
      </xdr:sp>
    </xdr:grpSp>
    <xdr:clientData/>
  </xdr:twoCellAnchor>
  <xdr:twoCellAnchor>
    <xdr:from>
      <xdr:col>16</xdr:col>
      <xdr:colOff>45356</xdr:colOff>
      <xdr:row>19</xdr:row>
      <xdr:rowOff>27215</xdr:rowOff>
    </xdr:from>
    <xdr:to>
      <xdr:col>17</xdr:col>
      <xdr:colOff>4535</xdr:colOff>
      <xdr:row>20</xdr:row>
      <xdr:rowOff>97065</xdr:rowOff>
    </xdr:to>
    <xdr:grpSp>
      <xdr:nvGrpSpPr>
        <xdr:cNvPr id="61" name="Group 60">
          <a:extLst>
            <a:ext uri="{FF2B5EF4-FFF2-40B4-BE49-F238E27FC236}">
              <a16:creationId xmlns:a16="http://schemas.microsoft.com/office/drawing/2014/main" id="{00000000-0008-0000-0300-00003D000000}"/>
            </a:ext>
          </a:extLst>
        </xdr:cNvPr>
        <xdr:cNvGrpSpPr/>
      </xdr:nvGrpSpPr>
      <xdr:grpSpPr>
        <a:xfrm>
          <a:off x="9562419" y="3551465"/>
          <a:ext cx="284616" cy="252413"/>
          <a:chOff x="7639050" y="838200"/>
          <a:chExt cx="285750" cy="254000"/>
        </a:xfrm>
      </xdr:grpSpPr>
      <xdr:sp macro="" textlink="">
        <xdr:nvSpPr>
          <xdr:cNvPr id="62" name="Oval 61">
            <a:extLst>
              <a:ext uri="{FF2B5EF4-FFF2-40B4-BE49-F238E27FC236}">
                <a16:creationId xmlns:a16="http://schemas.microsoft.com/office/drawing/2014/main" id="{00000000-0008-0000-0300-00003E000000}"/>
              </a:ext>
            </a:extLst>
          </xdr:cNvPr>
          <xdr:cNvSpPr/>
        </xdr:nvSpPr>
        <xdr:spPr>
          <a:xfrm>
            <a:off x="7645400" y="869950"/>
            <a:ext cx="228600" cy="222250"/>
          </a:xfrm>
          <a:prstGeom prst="ellipse">
            <a:avLst/>
          </a:prstGeom>
          <a:solidFill>
            <a:schemeClr val="accent4">
              <a:lumMod val="60000"/>
              <a:lumOff val="4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800" b="1">
              <a:solidFill>
                <a:sysClr val="windowText" lastClr="000000"/>
              </a:solidFill>
            </a:endParaRPr>
          </a:p>
        </xdr:txBody>
      </xdr:sp>
      <xdr:sp macro="" textlink="">
        <xdr:nvSpPr>
          <xdr:cNvPr id="63" name="TextBox 62">
            <a:extLst>
              <a:ext uri="{FF2B5EF4-FFF2-40B4-BE49-F238E27FC236}">
                <a16:creationId xmlns:a16="http://schemas.microsoft.com/office/drawing/2014/main" id="{00000000-0008-0000-0300-00003F000000}"/>
              </a:ext>
            </a:extLst>
          </xdr:cNvPr>
          <xdr:cNvSpPr txBox="1"/>
        </xdr:nvSpPr>
        <xdr:spPr>
          <a:xfrm>
            <a:off x="7639050" y="838200"/>
            <a:ext cx="28575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5</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8"/>
  <sheetViews>
    <sheetView topLeftCell="AD1" zoomScaleNormal="100" workbookViewId="0">
      <pane ySplit="1" topLeftCell="A22" activePane="bottomLeft" state="frozen"/>
      <selection activeCell="F1" sqref="F1"/>
      <selection pane="bottomLeft" activeCell="A27" sqref="A27"/>
    </sheetView>
  </sheetViews>
  <sheetFormatPr defaultRowHeight="14.5" x14ac:dyDescent="0.35"/>
  <cols>
    <col min="1" max="1" width="14.453125" bestFit="1" customWidth="1"/>
    <col min="2" max="2" width="13.26953125" bestFit="1" customWidth="1"/>
    <col min="3" max="3" width="14.90625" customWidth="1"/>
    <col min="4" max="4" width="10.453125" customWidth="1"/>
    <col min="7" max="7" width="15.08984375" customWidth="1"/>
    <col min="8" max="8" width="10.7265625" customWidth="1"/>
    <col min="9" max="9" width="9.7265625" customWidth="1"/>
    <col min="10" max="10" width="7.7265625" bestFit="1" customWidth="1"/>
    <col min="12" max="12" width="15.08984375" customWidth="1"/>
    <col min="13" max="13" width="10.08984375" customWidth="1"/>
    <col min="16" max="16" width="15" customWidth="1"/>
    <col min="17" max="17" width="10.08984375" customWidth="1"/>
    <col min="20" max="20" width="14.7265625" customWidth="1"/>
    <col min="21" max="21" width="9.90625" customWidth="1"/>
    <col min="24" max="24" width="14.54296875" customWidth="1"/>
    <col min="25" max="25" width="10.36328125" customWidth="1"/>
    <col min="28" max="28" width="14.1796875" customWidth="1"/>
    <col min="29" max="29" width="10.6328125" customWidth="1"/>
    <col min="32" max="32" width="15.7265625" customWidth="1"/>
    <col min="33" max="33" width="10.90625" customWidth="1"/>
    <col min="36" max="36" width="16.7265625" customWidth="1"/>
    <col min="37" max="37" width="9.90625" customWidth="1"/>
    <col min="40" max="40" width="15.81640625" customWidth="1"/>
    <col min="41" max="41" width="9.7265625" customWidth="1"/>
    <col min="44" max="44" width="14.453125" customWidth="1"/>
    <col min="45" max="45" width="9.6328125" customWidth="1"/>
    <col min="48" max="48" width="14.1796875" customWidth="1"/>
    <col min="49" max="49" width="10.08984375" customWidth="1"/>
    <col min="52" max="52" width="15.1796875" customWidth="1"/>
    <col min="53" max="53" width="9.453125" customWidth="1"/>
  </cols>
  <sheetData>
    <row r="1" spans="1:55" x14ac:dyDescent="0.35">
      <c r="C1" s="39" t="s">
        <v>4</v>
      </c>
      <c r="D1" s="39"/>
      <c r="E1" s="39"/>
      <c r="F1" s="39"/>
      <c r="G1" s="38" t="s">
        <v>5</v>
      </c>
      <c r="H1" s="38"/>
      <c r="I1" s="38"/>
      <c r="J1" s="38"/>
      <c r="K1" s="38"/>
      <c r="L1" s="39" t="s">
        <v>7</v>
      </c>
      <c r="M1" s="39"/>
      <c r="N1" s="39"/>
      <c r="O1" s="39"/>
      <c r="P1" s="38" t="s">
        <v>8</v>
      </c>
      <c r="Q1" s="38"/>
      <c r="R1" s="38"/>
      <c r="S1" s="38"/>
      <c r="T1" s="39" t="s">
        <v>9</v>
      </c>
      <c r="U1" s="39"/>
      <c r="V1" s="39"/>
      <c r="W1" s="39"/>
      <c r="X1" s="38" t="s">
        <v>11</v>
      </c>
      <c r="Y1" s="38"/>
      <c r="Z1" s="38"/>
      <c r="AA1" s="38"/>
      <c r="AB1" s="39" t="s">
        <v>12</v>
      </c>
      <c r="AC1" s="39"/>
      <c r="AD1" s="39"/>
      <c r="AE1" s="39"/>
      <c r="AF1" s="38" t="s">
        <v>13</v>
      </c>
      <c r="AG1" s="38"/>
      <c r="AH1" s="38"/>
      <c r="AI1" s="38"/>
      <c r="AJ1" s="39" t="s">
        <v>14</v>
      </c>
      <c r="AK1" s="39"/>
      <c r="AL1" s="39"/>
      <c r="AM1" s="39"/>
      <c r="AN1" s="38" t="s">
        <v>15</v>
      </c>
      <c r="AO1" s="38"/>
      <c r="AP1" s="38"/>
      <c r="AQ1" s="38"/>
      <c r="AR1" s="39" t="s">
        <v>16</v>
      </c>
      <c r="AS1" s="39"/>
      <c r="AT1" s="39"/>
      <c r="AU1" s="39"/>
      <c r="AV1" s="38" t="s">
        <v>17</v>
      </c>
      <c r="AW1" s="38"/>
      <c r="AX1" s="38"/>
      <c r="AY1" s="38"/>
      <c r="AZ1" s="39" t="s">
        <v>18</v>
      </c>
      <c r="BA1" s="39"/>
      <c r="BB1" s="39"/>
      <c r="BC1" s="39"/>
    </row>
    <row r="2" spans="1:55" ht="30.5" customHeight="1" x14ac:dyDescent="0.35">
      <c r="A2" s="4" t="s">
        <v>19</v>
      </c>
      <c r="B2" s="5" t="s">
        <v>43</v>
      </c>
      <c r="C2" s="3" t="s">
        <v>42</v>
      </c>
      <c r="D2" s="3" t="s">
        <v>1</v>
      </c>
      <c r="E2" s="3" t="s">
        <v>2</v>
      </c>
      <c r="F2" s="3" t="s">
        <v>3</v>
      </c>
      <c r="G2" s="2" t="s">
        <v>0</v>
      </c>
      <c r="H2" s="2" t="s">
        <v>1</v>
      </c>
      <c r="I2" s="2" t="s">
        <v>6</v>
      </c>
      <c r="J2" s="2" t="s">
        <v>3</v>
      </c>
      <c r="K2" s="2" t="s">
        <v>40</v>
      </c>
      <c r="L2" s="3" t="s">
        <v>0</v>
      </c>
      <c r="M2" s="3" t="s">
        <v>1</v>
      </c>
      <c r="N2" s="3" t="s">
        <v>6</v>
      </c>
      <c r="O2" s="3" t="s">
        <v>3</v>
      </c>
      <c r="P2" s="2" t="s">
        <v>0</v>
      </c>
      <c r="Q2" s="2" t="s">
        <v>1</v>
      </c>
      <c r="R2" s="2" t="s">
        <v>6</v>
      </c>
      <c r="S2" s="2" t="s">
        <v>3</v>
      </c>
      <c r="T2" s="3" t="s">
        <v>0</v>
      </c>
      <c r="U2" s="3" t="s">
        <v>1</v>
      </c>
      <c r="V2" s="3" t="s">
        <v>10</v>
      </c>
      <c r="W2" s="3" t="s">
        <v>3</v>
      </c>
      <c r="X2" s="2" t="s">
        <v>0</v>
      </c>
      <c r="Y2" s="2" t="s">
        <v>1</v>
      </c>
      <c r="Z2" s="2" t="s">
        <v>10</v>
      </c>
      <c r="AA2" s="2" t="s">
        <v>3</v>
      </c>
      <c r="AB2" s="3" t="s">
        <v>0</v>
      </c>
      <c r="AC2" s="3" t="s">
        <v>1</v>
      </c>
      <c r="AD2" s="3" t="s">
        <v>10</v>
      </c>
      <c r="AE2" s="3" t="s">
        <v>3</v>
      </c>
      <c r="AF2" s="2" t="s">
        <v>0</v>
      </c>
      <c r="AG2" s="2" t="s">
        <v>1</v>
      </c>
      <c r="AH2" s="2" t="s">
        <v>10</v>
      </c>
      <c r="AI2" s="2" t="s">
        <v>3</v>
      </c>
      <c r="AJ2" s="3" t="s">
        <v>0</v>
      </c>
      <c r="AK2" s="3" t="s">
        <v>1</v>
      </c>
      <c r="AL2" s="3" t="s">
        <v>10</v>
      </c>
      <c r="AM2" s="3" t="s">
        <v>3</v>
      </c>
      <c r="AN2" s="2" t="s">
        <v>0</v>
      </c>
      <c r="AO2" s="2" t="s">
        <v>1</v>
      </c>
      <c r="AP2" s="2" t="s">
        <v>10</v>
      </c>
      <c r="AQ2" s="2" t="s">
        <v>3</v>
      </c>
      <c r="AR2" s="3" t="s">
        <v>0</v>
      </c>
      <c r="AS2" s="3" t="s">
        <v>1</v>
      </c>
      <c r="AT2" s="3" t="s">
        <v>10</v>
      </c>
      <c r="AU2" s="3" t="s">
        <v>3</v>
      </c>
      <c r="AV2" s="2" t="s">
        <v>0</v>
      </c>
      <c r="AW2" s="2" t="s">
        <v>1</v>
      </c>
      <c r="AX2" s="2" t="s">
        <v>10</v>
      </c>
      <c r="AY2" s="2" t="s">
        <v>3</v>
      </c>
      <c r="AZ2" s="3" t="s">
        <v>0</v>
      </c>
      <c r="BA2" s="3" t="s">
        <v>1</v>
      </c>
      <c r="BB2" s="3" t="s">
        <v>10</v>
      </c>
      <c r="BC2" s="3" t="s">
        <v>3</v>
      </c>
    </row>
    <row r="3" spans="1:55" x14ac:dyDescent="0.35">
      <c r="A3" s="17">
        <v>43344</v>
      </c>
      <c r="B3" s="13"/>
      <c r="C3" s="16"/>
      <c r="D3" s="11"/>
      <c r="E3" s="11"/>
      <c r="F3" s="11"/>
      <c r="G3" s="14"/>
      <c r="H3" s="11"/>
      <c r="I3" s="11"/>
      <c r="J3" s="11"/>
      <c r="K3" s="1"/>
      <c r="L3" s="16"/>
      <c r="M3" s="11"/>
      <c r="N3" s="11"/>
      <c r="O3" s="1"/>
      <c r="P3" s="16"/>
      <c r="Q3" s="11"/>
      <c r="R3" s="11"/>
      <c r="S3" s="1"/>
      <c r="T3" s="16"/>
      <c r="U3" s="11"/>
      <c r="V3" s="11"/>
      <c r="W3" s="11"/>
      <c r="X3" s="16"/>
      <c r="Y3" s="11"/>
      <c r="Z3" s="11"/>
      <c r="AA3" s="11"/>
      <c r="AB3" s="16"/>
      <c r="AC3" s="11"/>
      <c r="AD3" s="11"/>
      <c r="AE3" s="1"/>
      <c r="AF3" s="12"/>
      <c r="AG3" s="12"/>
      <c r="AH3" s="12"/>
      <c r="AI3" s="12"/>
      <c r="AJ3" s="12"/>
      <c r="AK3" s="12"/>
      <c r="AL3" s="12"/>
      <c r="AM3" s="12"/>
      <c r="AN3" s="12"/>
      <c r="AO3" s="12"/>
      <c r="AP3" s="12"/>
      <c r="AQ3" s="12"/>
      <c r="AR3" s="12"/>
      <c r="AS3" s="12"/>
      <c r="AT3" s="12"/>
      <c r="AU3" s="12"/>
      <c r="AV3" s="12"/>
      <c r="AW3" s="12"/>
      <c r="AX3" s="12"/>
      <c r="AY3" s="12"/>
      <c r="AZ3" s="12"/>
      <c r="BA3" s="12"/>
      <c r="BB3" s="12"/>
      <c r="BC3" s="12"/>
    </row>
    <row r="4" spans="1:55" x14ac:dyDescent="0.35">
      <c r="A4" s="17">
        <v>43374</v>
      </c>
      <c r="B4" s="13">
        <v>0.91800000000000004</v>
      </c>
      <c r="C4" s="14">
        <f t="shared" ref="C4:C22" si="0">IF(F4="*",(E4/D4),(E4-F4)/D4)</f>
        <v>0.62276908083084603</v>
      </c>
      <c r="D4" s="11">
        <v>82085</v>
      </c>
      <c r="E4" s="11">
        <v>82085</v>
      </c>
      <c r="F4" s="11">
        <v>30965</v>
      </c>
      <c r="G4" s="14">
        <f t="shared" ref="G4:G14" si="1">IF(K4="*",(I4/H4),(I4-K4)/H4)</f>
        <v>0.99768532618627037</v>
      </c>
      <c r="H4" s="11">
        <v>82085</v>
      </c>
      <c r="I4" s="11">
        <v>81895</v>
      </c>
      <c r="J4" s="11">
        <v>20085</v>
      </c>
      <c r="K4" s="1"/>
      <c r="L4" s="16">
        <f t="shared" ref="L4:L38" si="2">N4/M4</f>
        <v>0.99695437656088204</v>
      </c>
      <c r="M4" s="11">
        <v>82085</v>
      </c>
      <c r="N4" s="11">
        <v>81835</v>
      </c>
      <c r="O4" s="1"/>
      <c r="P4" s="16">
        <f t="shared" ref="P4:P38" si="3">R4/Q4</f>
        <v>1</v>
      </c>
      <c r="Q4" s="11">
        <v>82085</v>
      </c>
      <c r="R4" s="11">
        <v>82085</v>
      </c>
      <c r="S4" s="1"/>
      <c r="T4" s="16">
        <f t="shared" ref="T4:T38" si="4">IF(W4="*",(V4/U4),(V4-W4)/U4)</f>
        <v>0.99975635012487052</v>
      </c>
      <c r="U4" s="11">
        <v>82085</v>
      </c>
      <c r="V4" s="11">
        <v>82085</v>
      </c>
      <c r="W4" s="11">
        <v>20</v>
      </c>
      <c r="X4" s="16">
        <f t="shared" ref="X4:X23" si="5">IF(AA4="*",(Z4/Y4),(Z4-AA4)/Y4)</f>
        <v>0.99591886459158185</v>
      </c>
      <c r="Y4" s="11">
        <v>82085</v>
      </c>
      <c r="Z4" s="11">
        <v>81810</v>
      </c>
      <c r="AA4" s="11">
        <v>60</v>
      </c>
      <c r="AB4" s="16">
        <f t="shared" ref="AB4:AB38" si="6">AD4/AC4</f>
        <v>0.95461106655974337</v>
      </c>
      <c r="AC4" s="11">
        <v>93525</v>
      </c>
      <c r="AD4" s="11">
        <v>89280</v>
      </c>
      <c r="AE4" s="1"/>
      <c r="AF4" s="12"/>
      <c r="AG4" s="12"/>
      <c r="AH4" s="12"/>
      <c r="AI4" s="12"/>
      <c r="AJ4" s="12"/>
      <c r="AK4" s="12"/>
      <c r="AL4" s="12"/>
      <c r="AM4" s="12"/>
      <c r="AN4" s="12"/>
      <c r="AO4" s="12"/>
      <c r="AP4" s="12"/>
      <c r="AQ4" s="12"/>
      <c r="AR4" s="12"/>
      <c r="AS4" s="12"/>
      <c r="AT4" s="12"/>
      <c r="AU4" s="12"/>
      <c r="AV4" s="12"/>
      <c r="AW4" s="12"/>
      <c r="AX4" s="12"/>
      <c r="AY4" s="12"/>
      <c r="AZ4" s="12"/>
      <c r="BA4" s="12"/>
      <c r="BB4" s="12"/>
      <c r="BC4" s="12"/>
    </row>
    <row r="5" spans="1:55" x14ac:dyDescent="0.35">
      <c r="A5" s="17">
        <v>43405</v>
      </c>
      <c r="B5" s="13">
        <f>93.5/100</f>
        <v>0.93500000000000005</v>
      </c>
      <c r="C5" s="14">
        <f t="shared" si="0"/>
        <v>0.62927681641395639</v>
      </c>
      <c r="D5" s="11">
        <v>88705</v>
      </c>
      <c r="E5" s="11">
        <v>88705</v>
      </c>
      <c r="F5" s="11">
        <v>32885</v>
      </c>
      <c r="G5" s="14">
        <f t="shared" si="1"/>
        <v>0.99977453356631529</v>
      </c>
      <c r="H5" s="11">
        <v>88705</v>
      </c>
      <c r="I5" s="11">
        <v>88685</v>
      </c>
      <c r="J5" s="11">
        <v>2825</v>
      </c>
      <c r="K5" s="1"/>
      <c r="L5" s="16">
        <f t="shared" si="2"/>
        <v>0.99678710331999321</v>
      </c>
      <c r="M5" s="11">
        <v>88705</v>
      </c>
      <c r="N5" s="11">
        <v>88420</v>
      </c>
      <c r="O5" s="1"/>
      <c r="P5" s="16">
        <f t="shared" si="3"/>
        <v>1</v>
      </c>
      <c r="Q5" s="11">
        <v>88705</v>
      </c>
      <c r="R5" s="11">
        <v>88705</v>
      </c>
      <c r="S5" s="1"/>
      <c r="T5" s="16">
        <f t="shared" si="4"/>
        <v>0.99971816695789417</v>
      </c>
      <c r="U5" s="11">
        <v>88705</v>
      </c>
      <c r="V5" s="11">
        <v>88705</v>
      </c>
      <c r="W5" s="11">
        <v>25</v>
      </c>
      <c r="X5" s="16">
        <f t="shared" si="5"/>
        <v>0.99571613775999102</v>
      </c>
      <c r="Y5" s="11">
        <v>88705</v>
      </c>
      <c r="Z5" s="11">
        <v>88400</v>
      </c>
      <c r="AA5" s="11">
        <v>75</v>
      </c>
      <c r="AB5" s="16">
        <f t="shared" si="6"/>
        <v>0.92692481542865757</v>
      </c>
      <c r="AC5" s="11">
        <v>99555</v>
      </c>
      <c r="AD5" s="11">
        <v>92280</v>
      </c>
      <c r="AE5" s="1"/>
      <c r="AF5" s="12"/>
      <c r="AG5" s="12"/>
      <c r="AH5" s="12"/>
      <c r="AI5" s="12"/>
      <c r="AJ5" s="12"/>
      <c r="AK5" s="12"/>
      <c r="AL5" s="12"/>
      <c r="AM5" s="12"/>
      <c r="AN5" s="12"/>
      <c r="AO5" s="12"/>
      <c r="AP5" s="12"/>
      <c r="AQ5" s="12"/>
      <c r="AR5" s="12"/>
      <c r="AS5" s="12"/>
      <c r="AT5" s="12"/>
      <c r="AU5" s="12"/>
      <c r="AV5" s="12"/>
      <c r="AW5" s="12"/>
      <c r="AX5" s="12"/>
      <c r="AY5" s="12"/>
      <c r="AZ5" s="12"/>
      <c r="BA5" s="12"/>
      <c r="BB5" s="12"/>
      <c r="BC5" s="12"/>
    </row>
    <row r="6" spans="1:55" x14ac:dyDescent="0.35">
      <c r="A6" s="17">
        <v>43435</v>
      </c>
      <c r="B6" s="13">
        <f>94.2/100</f>
        <v>0.94200000000000006</v>
      </c>
      <c r="C6" s="14">
        <f t="shared" si="0"/>
        <v>0.6294679810369479</v>
      </c>
      <c r="D6" s="11">
        <v>66445</v>
      </c>
      <c r="E6" s="11">
        <v>66445</v>
      </c>
      <c r="F6" s="11">
        <v>24620</v>
      </c>
      <c r="G6" s="14">
        <f t="shared" si="1"/>
        <v>0.99969899917224769</v>
      </c>
      <c r="H6" s="11">
        <v>66445</v>
      </c>
      <c r="I6" s="11">
        <v>66425</v>
      </c>
      <c r="J6" s="11">
        <v>3270</v>
      </c>
      <c r="K6" s="1"/>
      <c r="L6" s="16">
        <f t="shared" si="2"/>
        <v>0.99698999172247726</v>
      </c>
      <c r="M6" s="11">
        <v>66445</v>
      </c>
      <c r="N6" s="11">
        <v>66245</v>
      </c>
      <c r="O6" s="1"/>
      <c r="P6" s="16">
        <f t="shared" si="3"/>
        <v>1</v>
      </c>
      <c r="Q6" s="11">
        <v>66445</v>
      </c>
      <c r="R6" s="11">
        <v>66445</v>
      </c>
      <c r="S6" s="1"/>
      <c r="T6" s="16">
        <f t="shared" si="4"/>
        <v>0.9997742493791858</v>
      </c>
      <c r="U6" s="11">
        <v>66445</v>
      </c>
      <c r="V6" s="11">
        <v>66445</v>
      </c>
      <c r="W6" s="11">
        <v>15</v>
      </c>
      <c r="X6" s="16">
        <f t="shared" si="5"/>
        <v>0.99586123861840625</v>
      </c>
      <c r="Y6" s="11">
        <v>66445</v>
      </c>
      <c r="Z6" s="11">
        <v>66235</v>
      </c>
      <c r="AA6" s="11">
        <v>65</v>
      </c>
      <c r="AB6" s="16">
        <f t="shared" si="6"/>
        <v>0.97376522553874978</v>
      </c>
      <c r="AC6" s="11">
        <v>74710</v>
      </c>
      <c r="AD6" s="11">
        <v>72750</v>
      </c>
      <c r="AE6" s="1"/>
      <c r="AF6" s="12"/>
      <c r="AG6" s="12"/>
      <c r="AH6" s="12"/>
      <c r="AI6" s="12"/>
      <c r="AJ6" s="12"/>
      <c r="AK6" s="12"/>
      <c r="AL6" s="12"/>
      <c r="AM6" s="12"/>
      <c r="AN6" s="12"/>
      <c r="AO6" s="12"/>
      <c r="AP6" s="12"/>
      <c r="AQ6" s="12"/>
      <c r="AR6" s="12"/>
      <c r="AS6" s="12"/>
      <c r="AT6" s="12"/>
      <c r="AU6" s="12"/>
      <c r="AV6" s="12"/>
      <c r="AW6" s="12"/>
      <c r="AX6" s="12"/>
      <c r="AY6" s="12"/>
      <c r="AZ6" s="12"/>
      <c r="BA6" s="12"/>
      <c r="BB6" s="12"/>
      <c r="BC6" s="12"/>
    </row>
    <row r="7" spans="1:55" x14ac:dyDescent="0.35">
      <c r="A7" s="17">
        <v>43466</v>
      </c>
      <c r="B7" s="13">
        <f>94/100</f>
        <v>0.94</v>
      </c>
      <c r="C7" s="14">
        <f t="shared" si="0"/>
        <v>0.61872176454956151</v>
      </c>
      <c r="D7" s="11">
        <v>75260</v>
      </c>
      <c r="E7" s="11">
        <v>75260</v>
      </c>
      <c r="F7" s="11">
        <v>28695</v>
      </c>
      <c r="G7" s="14">
        <f t="shared" si="1"/>
        <v>0.99946850916821683</v>
      </c>
      <c r="H7" s="11">
        <v>75260</v>
      </c>
      <c r="I7" s="11">
        <v>75220</v>
      </c>
      <c r="J7" s="11">
        <v>6190</v>
      </c>
      <c r="K7" s="1"/>
      <c r="L7" s="16">
        <f t="shared" si="2"/>
        <v>0.99714323677916561</v>
      </c>
      <c r="M7" s="11">
        <v>75260</v>
      </c>
      <c r="N7" s="11">
        <v>75045</v>
      </c>
      <c r="O7" s="1"/>
      <c r="P7" s="16">
        <f t="shared" si="3"/>
        <v>1</v>
      </c>
      <c r="Q7" s="11">
        <v>75260</v>
      </c>
      <c r="R7" s="11">
        <v>75260</v>
      </c>
      <c r="S7" s="1"/>
      <c r="T7" s="16">
        <f t="shared" si="4"/>
        <v>0.99980069093808133</v>
      </c>
      <c r="U7" s="11">
        <v>75260</v>
      </c>
      <c r="V7" s="11">
        <v>75260</v>
      </c>
      <c r="W7" s="11">
        <v>15</v>
      </c>
      <c r="X7" s="16">
        <f t="shared" si="5"/>
        <v>0.99495083709806009</v>
      </c>
      <c r="Y7" s="11">
        <v>75260</v>
      </c>
      <c r="Z7" s="11">
        <v>74955</v>
      </c>
      <c r="AA7" s="11">
        <v>75</v>
      </c>
      <c r="AB7" s="16">
        <f t="shared" si="6"/>
        <v>0.97011440579033392</v>
      </c>
      <c r="AC7" s="11">
        <v>85660</v>
      </c>
      <c r="AD7" s="11">
        <v>83100</v>
      </c>
      <c r="AE7" s="1"/>
      <c r="AF7" s="12"/>
      <c r="AG7" s="12"/>
      <c r="AH7" s="12"/>
      <c r="AI7" s="12"/>
      <c r="AJ7" s="12"/>
      <c r="AK7" s="12"/>
      <c r="AL7" s="12"/>
      <c r="AM7" s="12"/>
      <c r="AN7" s="12"/>
      <c r="AO7" s="12"/>
      <c r="AP7" s="12"/>
      <c r="AQ7" s="12"/>
      <c r="AR7" s="12"/>
      <c r="AS7" s="12"/>
      <c r="AT7" s="12"/>
      <c r="AU7" s="12"/>
      <c r="AV7" s="12"/>
      <c r="AW7" s="12"/>
      <c r="AX7" s="12"/>
      <c r="AY7" s="12"/>
      <c r="AZ7" s="12"/>
      <c r="BA7" s="12"/>
      <c r="BB7" s="12"/>
      <c r="BC7" s="12"/>
    </row>
    <row r="8" spans="1:55" x14ac:dyDescent="0.35">
      <c r="A8" s="17">
        <v>43497</v>
      </c>
      <c r="B8" s="13">
        <f>94.1/100</f>
        <v>0.94099999999999995</v>
      </c>
      <c r="C8" s="14">
        <f t="shared" si="0"/>
        <v>0.61953931691818909</v>
      </c>
      <c r="D8" s="11">
        <v>69245</v>
      </c>
      <c r="E8" s="11">
        <v>69245</v>
      </c>
      <c r="F8" s="11">
        <v>26345</v>
      </c>
      <c r="G8" s="14">
        <f t="shared" si="1"/>
        <v>0.99537872770597158</v>
      </c>
      <c r="H8" s="11">
        <v>69245</v>
      </c>
      <c r="I8" s="11">
        <v>69190</v>
      </c>
      <c r="J8" s="11">
        <v>7340</v>
      </c>
      <c r="K8" s="11">
        <v>265</v>
      </c>
      <c r="L8" s="16">
        <f t="shared" si="2"/>
        <v>0.99718391219582636</v>
      </c>
      <c r="M8" s="11">
        <v>69245</v>
      </c>
      <c r="N8" s="11">
        <v>69050</v>
      </c>
      <c r="O8" s="1"/>
      <c r="P8" s="16">
        <f t="shared" si="3"/>
        <v>1</v>
      </c>
      <c r="Q8" s="11">
        <v>69245</v>
      </c>
      <c r="R8" s="11">
        <v>69245</v>
      </c>
      <c r="S8" s="1"/>
      <c r="T8" s="16">
        <f t="shared" si="4"/>
        <v>0.9997833778612174</v>
      </c>
      <c r="U8" s="11">
        <v>69245</v>
      </c>
      <c r="V8" s="11">
        <v>69245</v>
      </c>
      <c r="W8" s="11">
        <v>15</v>
      </c>
      <c r="X8" s="16">
        <f t="shared" si="5"/>
        <v>0.99501769080800062</v>
      </c>
      <c r="Y8" s="11">
        <v>69245</v>
      </c>
      <c r="Z8" s="11">
        <v>68965</v>
      </c>
      <c r="AA8" s="11">
        <v>65</v>
      </c>
      <c r="AB8" s="16">
        <f t="shared" si="6"/>
        <v>0.98348319622473057</v>
      </c>
      <c r="AC8" s="11">
        <v>78405</v>
      </c>
      <c r="AD8" s="11">
        <v>77110</v>
      </c>
      <c r="AE8" s="1"/>
      <c r="AF8" s="12"/>
      <c r="AG8" s="12"/>
      <c r="AH8" s="12"/>
      <c r="AI8" s="12"/>
      <c r="AJ8" s="12"/>
      <c r="AK8" s="12"/>
      <c r="AL8" s="12"/>
      <c r="AM8" s="12"/>
      <c r="AN8" s="12"/>
      <c r="AO8" s="12"/>
      <c r="AP8" s="12"/>
      <c r="AQ8" s="12"/>
      <c r="AR8" s="12"/>
      <c r="AS8" s="12"/>
      <c r="AT8" s="12"/>
      <c r="AU8" s="12"/>
      <c r="AV8" s="12"/>
      <c r="AW8" s="12"/>
      <c r="AX8" s="12"/>
      <c r="AY8" s="12"/>
      <c r="AZ8" s="12"/>
      <c r="BA8" s="12"/>
      <c r="BB8" s="12"/>
      <c r="BC8" s="12"/>
    </row>
    <row r="9" spans="1:55" x14ac:dyDescent="0.35">
      <c r="A9" s="17">
        <v>43525</v>
      </c>
      <c r="B9" s="13">
        <f>92.2/100</f>
        <v>0.92200000000000004</v>
      </c>
      <c r="C9" s="14">
        <f t="shared" si="0"/>
        <v>0.62465930282599336</v>
      </c>
      <c r="D9" s="11">
        <v>69710</v>
      </c>
      <c r="E9" s="11">
        <v>69710</v>
      </c>
      <c r="F9" s="11">
        <v>26165</v>
      </c>
      <c r="G9" s="14">
        <f t="shared" si="1"/>
        <v>0.9859765794419546</v>
      </c>
      <c r="H9" s="11">
        <v>69170</v>
      </c>
      <c r="I9" s="11">
        <v>69630</v>
      </c>
      <c r="J9" s="11">
        <v>8555</v>
      </c>
      <c r="K9" s="11">
        <v>1430</v>
      </c>
      <c r="L9" s="16">
        <f t="shared" si="2"/>
        <v>0.99734614832879065</v>
      </c>
      <c r="M9" s="11">
        <v>69710</v>
      </c>
      <c r="N9" s="11">
        <v>69525</v>
      </c>
      <c r="O9" s="1"/>
      <c r="P9" s="16">
        <f t="shared" si="3"/>
        <v>1</v>
      </c>
      <c r="Q9" s="11">
        <v>69710</v>
      </c>
      <c r="R9" s="11">
        <v>69710</v>
      </c>
      <c r="S9" s="1"/>
      <c r="T9" s="16">
        <f t="shared" si="4"/>
        <v>0.9997848228374695</v>
      </c>
      <c r="U9" s="11">
        <v>69710</v>
      </c>
      <c r="V9" s="11">
        <v>69710</v>
      </c>
      <c r="W9" s="11">
        <v>15</v>
      </c>
      <c r="X9" s="16">
        <f t="shared" si="5"/>
        <v>0.87196958829436233</v>
      </c>
      <c r="Y9" s="11">
        <v>69710</v>
      </c>
      <c r="Z9" s="11">
        <v>60835</v>
      </c>
      <c r="AA9" s="11">
        <v>50</v>
      </c>
      <c r="AB9" s="16">
        <f t="shared" si="6"/>
        <v>0.97952715978956706</v>
      </c>
      <c r="AC9" s="11">
        <v>78885</v>
      </c>
      <c r="AD9" s="11">
        <v>77270</v>
      </c>
      <c r="AE9" s="1"/>
      <c r="AF9" s="12"/>
      <c r="AG9" s="12"/>
      <c r="AH9" s="12"/>
      <c r="AI9" s="12"/>
      <c r="AJ9" s="12"/>
      <c r="AK9" s="12"/>
      <c r="AL9" s="12"/>
      <c r="AM9" s="12"/>
      <c r="AN9" s="12"/>
      <c r="AO9" s="12"/>
      <c r="AP9" s="12"/>
      <c r="AQ9" s="12"/>
      <c r="AR9" s="12"/>
      <c r="AS9" s="12"/>
      <c r="AT9" s="12"/>
      <c r="AU9" s="12"/>
      <c r="AV9" s="12"/>
      <c r="AW9" s="12"/>
      <c r="AX9" s="12"/>
      <c r="AY9" s="12"/>
      <c r="AZ9" s="12"/>
      <c r="BA9" s="12"/>
      <c r="BB9" s="12"/>
      <c r="BC9" s="12"/>
    </row>
    <row r="10" spans="1:55" x14ac:dyDescent="0.35">
      <c r="A10" s="17">
        <v>43556</v>
      </c>
      <c r="B10" s="14">
        <f>85.2/100</f>
        <v>0.85199999999999998</v>
      </c>
      <c r="C10" s="14">
        <f t="shared" si="0"/>
        <v>0.62099341179954104</v>
      </c>
      <c r="D10" s="11">
        <v>67545</v>
      </c>
      <c r="E10" s="11">
        <v>67545</v>
      </c>
      <c r="F10" s="11">
        <v>25600</v>
      </c>
      <c r="G10" s="14">
        <f t="shared" si="1"/>
        <v>0.95284625064771633</v>
      </c>
      <c r="H10" s="11">
        <v>67545</v>
      </c>
      <c r="I10" s="11">
        <v>67475</v>
      </c>
      <c r="J10" s="11">
        <v>10015</v>
      </c>
      <c r="K10" s="11">
        <v>3115</v>
      </c>
      <c r="L10" s="16">
        <f t="shared" si="2"/>
        <v>0.99748315937523135</v>
      </c>
      <c r="M10" s="11">
        <v>67545</v>
      </c>
      <c r="N10" s="11">
        <v>67375</v>
      </c>
      <c r="O10" s="1"/>
      <c r="P10" s="16">
        <f t="shared" si="3"/>
        <v>1</v>
      </c>
      <c r="Q10" s="11">
        <v>67545</v>
      </c>
      <c r="R10" s="11">
        <v>67545</v>
      </c>
      <c r="S10" s="1"/>
      <c r="T10" s="16">
        <f t="shared" si="4"/>
        <v>0.99985195055148424</v>
      </c>
      <c r="U10" s="11">
        <v>67545</v>
      </c>
      <c r="V10" s="11">
        <v>67545</v>
      </c>
      <c r="W10" s="11">
        <v>10</v>
      </c>
      <c r="X10" s="16">
        <f t="shared" si="5"/>
        <v>0.87016063365163965</v>
      </c>
      <c r="Y10" s="11">
        <v>67545</v>
      </c>
      <c r="Z10" s="11">
        <v>58845</v>
      </c>
      <c r="AA10" s="11">
        <v>70</v>
      </c>
      <c r="AB10" s="16">
        <f t="shared" si="6"/>
        <v>0.9881518130330057</v>
      </c>
      <c r="AC10" s="11">
        <v>76805</v>
      </c>
      <c r="AD10" s="11">
        <v>75895</v>
      </c>
      <c r="AE10" s="1"/>
      <c r="AF10" s="14">
        <f t="shared" ref="AF10:AF38" si="7">AH10/AG10</f>
        <v>0.64768219880604194</v>
      </c>
      <c r="AG10" s="11">
        <v>249590</v>
      </c>
      <c r="AH10" s="11">
        <v>161655</v>
      </c>
      <c r="AI10" s="1"/>
      <c r="AJ10" s="16">
        <f t="shared" ref="AJ10:AJ38" si="8">AL10/AK10</f>
        <v>1</v>
      </c>
      <c r="AK10" s="11">
        <v>249590</v>
      </c>
      <c r="AL10" s="11">
        <v>249590</v>
      </c>
      <c r="AM10" s="1"/>
      <c r="AN10" s="1"/>
      <c r="AO10" s="11">
        <v>266605</v>
      </c>
      <c r="AP10" s="1"/>
      <c r="AQ10" s="1"/>
      <c r="AR10" s="16">
        <f t="shared" ref="AR10:AR38" si="9">AT10/AS10</f>
        <v>1</v>
      </c>
      <c r="AS10" s="11">
        <v>249590</v>
      </c>
      <c r="AT10" s="11">
        <v>249590</v>
      </c>
      <c r="AU10" s="1"/>
      <c r="AV10" s="16">
        <f t="shared" ref="AV10:AV38" si="10">AX10/AW10</f>
        <v>1</v>
      </c>
      <c r="AW10" s="11">
        <v>67545</v>
      </c>
      <c r="AX10" s="11">
        <v>67545</v>
      </c>
      <c r="AY10" s="1"/>
      <c r="AZ10" s="16">
        <f t="shared" ref="AZ10:AZ38" si="11">BB10/BA10</f>
        <v>0.99895840114575873</v>
      </c>
      <c r="BA10" s="11">
        <v>76805</v>
      </c>
      <c r="BB10" s="11">
        <v>76725</v>
      </c>
      <c r="BC10" s="1"/>
    </row>
    <row r="11" spans="1:55" x14ac:dyDescent="0.35">
      <c r="A11" s="17">
        <v>43586</v>
      </c>
      <c r="B11" s="14">
        <f>85.1/100</f>
        <v>0.85099999999999998</v>
      </c>
      <c r="C11" s="14">
        <f t="shared" si="0"/>
        <v>0.61927795303189626</v>
      </c>
      <c r="D11" s="11">
        <v>71325</v>
      </c>
      <c r="E11" s="11">
        <v>71325</v>
      </c>
      <c r="F11" s="11">
        <v>27155</v>
      </c>
      <c r="G11" s="14">
        <f t="shared" si="1"/>
        <v>0.9413249211356467</v>
      </c>
      <c r="H11" s="11">
        <v>71325</v>
      </c>
      <c r="I11" s="11">
        <v>71200</v>
      </c>
      <c r="J11" s="11">
        <v>11350</v>
      </c>
      <c r="K11" s="11">
        <v>4060</v>
      </c>
      <c r="L11" s="16">
        <f t="shared" si="2"/>
        <v>0.99768664563617249</v>
      </c>
      <c r="M11" s="11">
        <v>71325</v>
      </c>
      <c r="N11" s="11">
        <v>71160</v>
      </c>
      <c r="O11" s="1"/>
      <c r="P11" s="16">
        <f t="shared" si="3"/>
        <v>1</v>
      </c>
      <c r="Q11" s="11">
        <v>71325</v>
      </c>
      <c r="R11" s="11">
        <v>71325</v>
      </c>
      <c r="S11" s="1"/>
      <c r="T11" s="16">
        <f t="shared" si="4"/>
        <v>0.99985979670522263</v>
      </c>
      <c r="U11" s="11">
        <v>71325</v>
      </c>
      <c r="V11" s="11">
        <v>71325</v>
      </c>
      <c r="W11" s="11">
        <v>10</v>
      </c>
      <c r="X11" s="16">
        <f t="shared" si="5"/>
        <v>0.86785839467227477</v>
      </c>
      <c r="Y11" s="11">
        <v>71325</v>
      </c>
      <c r="Z11" s="11">
        <v>61970</v>
      </c>
      <c r="AA11" s="11">
        <v>70</v>
      </c>
      <c r="AB11" s="16">
        <f t="shared" si="6"/>
        <v>0.98295699255522062</v>
      </c>
      <c r="AC11" s="11">
        <v>81265</v>
      </c>
      <c r="AD11" s="11">
        <v>79880</v>
      </c>
      <c r="AE11" s="1"/>
      <c r="AF11" s="14">
        <f t="shared" si="7"/>
        <v>0.64903828057364399</v>
      </c>
      <c r="AG11" s="11">
        <v>265670</v>
      </c>
      <c r="AH11" s="11">
        <v>172430</v>
      </c>
      <c r="AI11" s="1"/>
      <c r="AJ11" s="16">
        <f t="shared" si="8"/>
        <v>1</v>
      </c>
      <c r="AK11" s="11">
        <v>265670</v>
      </c>
      <c r="AL11" s="11">
        <v>265670</v>
      </c>
      <c r="AM11" s="1"/>
      <c r="AN11" s="1"/>
      <c r="AO11" s="11">
        <v>286205</v>
      </c>
      <c r="AP11" s="1"/>
      <c r="AQ11" s="1"/>
      <c r="AR11" s="16">
        <f t="shared" si="9"/>
        <v>1</v>
      </c>
      <c r="AS11" s="11">
        <v>265670</v>
      </c>
      <c r="AT11" s="11">
        <v>265670</v>
      </c>
      <c r="AU11" s="1"/>
      <c r="AV11" s="16">
        <f t="shared" si="10"/>
        <v>1</v>
      </c>
      <c r="AW11" s="11">
        <v>71325</v>
      </c>
      <c r="AX11" s="11">
        <v>71325</v>
      </c>
      <c r="AY11" s="1"/>
      <c r="AZ11" s="16">
        <f t="shared" si="11"/>
        <v>0.99876945794622529</v>
      </c>
      <c r="BA11" s="11">
        <v>81265</v>
      </c>
      <c r="BB11" s="11">
        <v>81165</v>
      </c>
      <c r="BC11" s="1"/>
    </row>
    <row r="12" spans="1:55" x14ac:dyDescent="0.35">
      <c r="A12" s="17">
        <v>43617</v>
      </c>
      <c r="B12" s="14">
        <f>85.1/100</f>
        <v>0.85099999999999998</v>
      </c>
      <c r="C12" s="14">
        <f t="shared" si="0"/>
        <v>0.62252338513662808</v>
      </c>
      <c r="D12" s="11">
        <v>67885</v>
      </c>
      <c r="E12" s="11">
        <v>67885</v>
      </c>
      <c r="F12" s="11">
        <v>25625</v>
      </c>
      <c r="G12" s="14">
        <f t="shared" si="1"/>
        <v>0.92958680120792514</v>
      </c>
      <c r="H12" s="11">
        <v>67885</v>
      </c>
      <c r="I12" s="11">
        <v>67745</v>
      </c>
      <c r="J12" s="11">
        <v>11580</v>
      </c>
      <c r="K12" s="11">
        <v>4640</v>
      </c>
      <c r="L12" s="16">
        <f t="shared" si="2"/>
        <v>0.99779038079104365</v>
      </c>
      <c r="M12" s="11">
        <v>67885</v>
      </c>
      <c r="N12" s="11">
        <v>67735</v>
      </c>
      <c r="O12" s="1"/>
      <c r="P12" s="16">
        <f t="shared" si="3"/>
        <v>1</v>
      </c>
      <c r="Q12" s="11">
        <v>67885</v>
      </c>
      <c r="R12" s="11">
        <v>67885</v>
      </c>
      <c r="S12" s="1"/>
      <c r="T12" s="16">
        <f t="shared" si="4"/>
        <v>0.99985269205273619</v>
      </c>
      <c r="U12" s="11">
        <v>67885</v>
      </c>
      <c r="V12" s="11">
        <v>67885</v>
      </c>
      <c r="W12" s="11">
        <v>10</v>
      </c>
      <c r="X12" s="16">
        <f t="shared" si="5"/>
        <v>0.86874861898799438</v>
      </c>
      <c r="Y12" s="11">
        <v>67885</v>
      </c>
      <c r="Z12" s="11">
        <v>59050</v>
      </c>
      <c r="AA12" s="11">
        <v>75</v>
      </c>
      <c r="AB12" s="16">
        <f t="shared" si="6"/>
        <v>0.99572898466317217</v>
      </c>
      <c r="AC12" s="11">
        <v>77265</v>
      </c>
      <c r="AD12" s="11">
        <v>76935</v>
      </c>
      <c r="AE12" s="1"/>
      <c r="AF12" s="14">
        <f t="shared" si="7"/>
        <v>0.65094792416606673</v>
      </c>
      <c r="AG12" s="11">
        <v>250020</v>
      </c>
      <c r="AH12" s="11">
        <v>162750</v>
      </c>
      <c r="AI12" s="1"/>
      <c r="AJ12" s="16">
        <f t="shared" si="8"/>
        <v>1</v>
      </c>
      <c r="AK12" s="11">
        <v>250020</v>
      </c>
      <c r="AL12" s="11">
        <v>250020</v>
      </c>
      <c r="AM12" s="1"/>
      <c r="AN12" s="1"/>
      <c r="AO12" s="11">
        <v>269210</v>
      </c>
      <c r="AP12" s="1"/>
      <c r="AQ12" s="1"/>
      <c r="AR12" s="16">
        <f t="shared" si="9"/>
        <v>1</v>
      </c>
      <c r="AS12" s="11">
        <v>250020</v>
      </c>
      <c r="AT12" s="11">
        <v>250020</v>
      </c>
      <c r="AU12" s="1"/>
      <c r="AV12" s="16">
        <f t="shared" si="10"/>
        <v>1</v>
      </c>
      <c r="AW12" s="11">
        <v>67885</v>
      </c>
      <c r="AX12" s="11">
        <v>67885</v>
      </c>
      <c r="AY12" s="1"/>
      <c r="AZ12" s="16">
        <f t="shared" si="11"/>
        <v>0.99864104057464576</v>
      </c>
      <c r="BA12" s="11">
        <v>77265</v>
      </c>
      <c r="BB12" s="11">
        <v>77160</v>
      </c>
      <c r="BC12" s="1"/>
    </row>
    <row r="13" spans="1:55" x14ac:dyDescent="0.35">
      <c r="A13" s="17">
        <v>43647</v>
      </c>
      <c r="B13" s="14">
        <f>84.9/100</f>
        <v>0.84900000000000009</v>
      </c>
      <c r="C13" s="14">
        <f t="shared" si="0"/>
        <v>0.61274826127482618</v>
      </c>
      <c r="D13" s="11">
        <v>69735</v>
      </c>
      <c r="E13" s="11">
        <v>69735</v>
      </c>
      <c r="F13" s="11">
        <v>27005</v>
      </c>
      <c r="G13" s="14">
        <f t="shared" si="1"/>
        <v>0.9108768910876891</v>
      </c>
      <c r="H13" s="11">
        <v>69735</v>
      </c>
      <c r="I13" s="11">
        <v>69595</v>
      </c>
      <c r="J13" s="11">
        <v>13200</v>
      </c>
      <c r="K13" s="11">
        <v>6075</v>
      </c>
      <c r="L13" s="16">
        <f t="shared" si="2"/>
        <v>1.0031711711711713</v>
      </c>
      <c r="M13" s="11">
        <v>69375</v>
      </c>
      <c r="N13" s="11">
        <v>69595</v>
      </c>
      <c r="O13" s="1"/>
      <c r="P13" s="16">
        <f t="shared" si="3"/>
        <v>1</v>
      </c>
      <c r="Q13" s="11">
        <v>69735</v>
      </c>
      <c r="R13" s="11">
        <v>69735</v>
      </c>
      <c r="S13" s="1"/>
      <c r="T13" s="16">
        <f t="shared" si="4"/>
        <v>0.99985659998566001</v>
      </c>
      <c r="U13" s="11">
        <v>69735</v>
      </c>
      <c r="V13" s="11">
        <v>69735</v>
      </c>
      <c r="W13" s="11">
        <v>10</v>
      </c>
      <c r="X13" s="16">
        <f t="shared" si="5"/>
        <v>0.86807198680719866</v>
      </c>
      <c r="Y13" s="11">
        <v>69735</v>
      </c>
      <c r="Z13" s="11">
        <v>60615</v>
      </c>
      <c r="AA13" s="11">
        <v>80</v>
      </c>
      <c r="AB13" s="16">
        <f t="shared" si="6"/>
        <v>0.99511523046092187</v>
      </c>
      <c r="AC13" s="11">
        <v>79840</v>
      </c>
      <c r="AD13" s="11">
        <v>79450</v>
      </c>
      <c r="AE13" s="1"/>
      <c r="AF13" s="14">
        <f t="shared" si="7"/>
        <v>0.64781988207458596</v>
      </c>
      <c r="AG13" s="11">
        <v>266270</v>
      </c>
      <c r="AH13" s="11">
        <v>172495</v>
      </c>
      <c r="AI13" s="1"/>
      <c r="AJ13" s="16">
        <f t="shared" si="8"/>
        <v>1</v>
      </c>
      <c r="AK13" s="11">
        <v>266270</v>
      </c>
      <c r="AL13" s="11">
        <v>266270</v>
      </c>
      <c r="AM13" s="1"/>
      <c r="AN13" s="1"/>
      <c r="AO13" s="11">
        <v>293310</v>
      </c>
      <c r="AP13" s="1"/>
      <c r="AQ13" s="1"/>
      <c r="AR13" s="16">
        <f t="shared" si="9"/>
        <v>1</v>
      </c>
      <c r="AS13" s="11">
        <v>266270</v>
      </c>
      <c r="AT13" s="11">
        <v>266270</v>
      </c>
      <c r="AU13" s="1"/>
      <c r="AV13" s="16">
        <f t="shared" si="10"/>
        <v>1</v>
      </c>
      <c r="AW13" s="11">
        <v>69735</v>
      </c>
      <c r="AX13" s="11">
        <v>69735</v>
      </c>
      <c r="AY13" s="1"/>
      <c r="AZ13" s="16">
        <f t="shared" si="11"/>
        <v>0.99868486973947901</v>
      </c>
      <c r="BA13" s="11">
        <v>79840</v>
      </c>
      <c r="BB13" s="11">
        <v>79735</v>
      </c>
      <c r="BC13" s="1"/>
    </row>
    <row r="14" spans="1:55" x14ac:dyDescent="0.35">
      <c r="A14" s="17">
        <v>43678</v>
      </c>
      <c r="B14" s="14">
        <f>84.5/100</f>
        <v>0.84499999999999997</v>
      </c>
      <c r="C14" s="14">
        <f t="shared" si="0"/>
        <v>0.6054090374601041</v>
      </c>
      <c r="D14" s="11">
        <v>59530</v>
      </c>
      <c r="E14" s="11">
        <v>59530</v>
      </c>
      <c r="F14" s="11">
        <v>23490</v>
      </c>
      <c r="G14" s="14">
        <f t="shared" si="1"/>
        <v>0.88997144296993114</v>
      </c>
      <c r="H14" s="11">
        <v>59530</v>
      </c>
      <c r="I14" s="11">
        <v>59395</v>
      </c>
      <c r="J14" s="11">
        <v>12500</v>
      </c>
      <c r="K14" s="11">
        <v>6415</v>
      </c>
      <c r="L14" s="16">
        <f t="shared" si="2"/>
        <v>0.99773223584747184</v>
      </c>
      <c r="M14" s="11">
        <v>59530</v>
      </c>
      <c r="N14" s="11">
        <v>59395</v>
      </c>
      <c r="O14" s="1"/>
      <c r="P14" s="16">
        <f t="shared" si="3"/>
        <v>1</v>
      </c>
      <c r="Q14" s="11">
        <v>59530</v>
      </c>
      <c r="R14" s="11">
        <v>59530</v>
      </c>
      <c r="S14" s="1"/>
      <c r="T14" s="16">
        <f t="shared" si="4"/>
        <v>0.99991600873509157</v>
      </c>
      <c r="U14" s="11">
        <v>59530</v>
      </c>
      <c r="V14" s="11">
        <v>59530</v>
      </c>
      <c r="W14" s="11">
        <v>5</v>
      </c>
      <c r="X14" s="16">
        <f t="shared" si="5"/>
        <v>0.86678985385519902</v>
      </c>
      <c r="Y14" s="11">
        <v>59530</v>
      </c>
      <c r="Z14" s="11">
        <v>51695</v>
      </c>
      <c r="AA14" s="11">
        <v>95</v>
      </c>
      <c r="AB14" s="16">
        <f t="shared" si="6"/>
        <v>0.99793814432989691</v>
      </c>
      <c r="AC14" s="11">
        <v>67900</v>
      </c>
      <c r="AD14" s="11">
        <v>67760</v>
      </c>
      <c r="AE14" s="1"/>
      <c r="AF14" s="14">
        <f t="shared" si="7"/>
        <v>0.62914216570785653</v>
      </c>
      <c r="AG14" s="11">
        <v>235535</v>
      </c>
      <c r="AH14" s="11">
        <v>148185</v>
      </c>
      <c r="AI14" s="1"/>
      <c r="AJ14" s="16">
        <f t="shared" si="8"/>
        <v>1</v>
      </c>
      <c r="AK14" s="11">
        <v>235535</v>
      </c>
      <c r="AL14" s="11">
        <v>235535</v>
      </c>
      <c r="AM14" s="1"/>
      <c r="AN14" s="1"/>
      <c r="AO14" s="11">
        <v>253910</v>
      </c>
      <c r="AP14" s="1"/>
      <c r="AQ14" s="1"/>
      <c r="AR14" s="16">
        <f t="shared" si="9"/>
        <v>1</v>
      </c>
      <c r="AS14" s="11">
        <v>235535</v>
      </c>
      <c r="AT14" s="11">
        <v>235535</v>
      </c>
      <c r="AU14" s="1"/>
      <c r="AV14" s="16">
        <f t="shared" si="10"/>
        <v>1</v>
      </c>
      <c r="AW14" s="11">
        <v>59530</v>
      </c>
      <c r="AX14" s="11">
        <v>59530</v>
      </c>
      <c r="AY14" s="1"/>
      <c r="AZ14" s="16">
        <f t="shared" si="11"/>
        <v>0.99896907216494846</v>
      </c>
      <c r="BA14" s="11">
        <v>67900</v>
      </c>
      <c r="BB14" s="11">
        <v>67830</v>
      </c>
      <c r="BC14" s="1"/>
    </row>
    <row r="15" spans="1:55" x14ac:dyDescent="0.35">
      <c r="A15" s="17">
        <v>43709</v>
      </c>
      <c r="B15" s="14">
        <f>84.6/100</f>
        <v>0.84599999999999997</v>
      </c>
      <c r="C15" s="14">
        <f t="shared" si="0"/>
        <v>0.61769719510305288</v>
      </c>
      <c r="D15" s="11">
        <v>64530</v>
      </c>
      <c r="E15" s="11">
        <v>64530</v>
      </c>
      <c r="F15" s="11">
        <v>24670</v>
      </c>
      <c r="G15" s="14">
        <f>IF(K15="*",(I15/H15),(I15-K15)/H15)</f>
        <v>0.88392995505966221</v>
      </c>
      <c r="H15" s="11">
        <v>64530</v>
      </c>
      <c r="I15" s="11">
        <v>64370</v>
      </c>
      <c r="J15" s="11">
        <v>13925</v>
      </c>
      <c r="K15" s="11">
        <v>7330</v>
      </c>
      <c r="L15" s="16">
        <f t="shared" si="2"/>
        <v>0.99767549976754999</v>
      </c>
      <c r="M15" s="11">
        <v>64530</v>
      </c>
      <c r="N15" s="11">
        <v>64380</v>
      </c>
      <c r="O15" s="1"/>
      <c r="P15" s="16">
        <f t="shared" si="3"/>
        <v>1</v>
      </c>
      <c r="Q15" s="11">
        <v>64530</v>
      </c>
      <c r="R15" s="11">
        <v>64530</v>
      </c>
      <c r="S15" s="1"/>
      <c r="T15" s="16">
        <f t="shared" si="4"/>
        <v>0.99992251665891829</v>
      </c>
      <c r="U15" s="11">
        <v>64530</v>
      </c>
      <c r="V15" s="11">
        <v>64530</v>
      </c>
      <c r="W15" s="11">
        <v>5</v>
      </c>
      <c r="X15" s="16">
        <f t="shared" si="5"/>
        <v>0.86463660313032698</v>
      </c>
      <c r="Y15" s="11">
        <v>64530</v>
      </c>
      <c r="Z15" s="11">
        <v>55880</v>
      </c>
      <c r="AA15" s="11">
        <v>85</v>
      </c>
      <c r="AB15" s="16">
        <f t="shared" si="6"/>
        <v>0.99456595571253903</v>
      </c>
      <c r="AC15" s="11">
        <v>73610</v>
      </c>
      <c r="AD15" s="11">
        <v>73210</v>
      </c>
      <c r="AE15" s="1"/>
      <c r="AF15" s="14">
        <f t="shared" si="7"/>
        <v>0.64362340966921117</v>
      </c>
      <c r="AG15" s="11">
        <v>245625</v>
      </c>
      <c r="AH15" s="11">
        <v>158090</v>
      </c>
      <c r="AI15" s="1"/>
      <c r="AJ15" s="16">
        <f t="shared" si="8"/>
        <v>1</v>
      </c>
      <c r="AK15" s="11">
        <v>245625</v>
      </c>
      <c r="AL15" s="11">
        <v>245625</v>
      </c>
      <c r="AM15" s="1"/>
      <c r="AN15" s="1"/>
      <c r="AO15" s="11">
        <v>259685</v>
      </c>
      <c r="AP15" s="1"/>
      <c r="AQ15" s="1"/>
      <c r="AR15" s="16">
        <f t="shared" si="9"/>
        <v>1</v>
      </c>
      <c r="AS15" s="11">
        <v>245625</v>
      </c>
      <c r="AT15" s="11">
        <v>245625</v>
      </c>
      <c r="AU15" s="1"/>
      <c r="AV15" s="16">
        <f t="shared" si="10"/>
        <v>1</v>
      </c>
      <c r="AW15" s="11">
        <v>64530</v>
      </c>
      <c r="AX15" s="11">
        <v>64530</v>
      </c>
      <c r="AY15" s="1"/>
      <c r="AZ15" s="16">
        <f t="shared" si="11"/>
        <v>0.99864148892813476</v>
      </c>
      <c r="BA15" s="11">
        <v>73610</v>
      </c>
      <c r="BB15" s="11">
        <v>73510</v>
      </c>
      <c r="BC15" s="1"/>
    </row>
    <row r="16" spans="1:55" x14ac:dyDescent="0.35">
      <c r="A16" s="17">
        <v>43739</v>
      </c>
      <c r="B16" s="14">
        <f>69.4/100</f>
        <v>0.69400000000000006</v>
      </c>
      <c r="C16" s="14">
        <f t="shared" si="0"/>
        <v>0.67294395412895613</v>
      </c>
      <c r="D16" s="11">
        <v>88945</v>
      </c>
      <c r="E16" s="11">
        <v>88560</v>
      </c>
      <c r="F16" s="11">
        <v>28705</v>
      </c>
      <c r="G16" s="14">
        <f t="shared" ref="G16:G27" si="12">IF(K16="*",(I16/H16),(I16-K16)/H16)</f>
        <v>0.9998875709708247</v>
      </c>
      <c r="H16" s="11">
        <v>88945</v>
      </c>
      <c r="I16" s="11">
        <v>88935</v>
      </c>
      <c r="J16" s="11">
        <v>4600</v>
      </c>
      <c r="K16" s="10" t="s">
        <v>41</v>
      </c>
      <c r="L16" s="16">
        <f t="shared" si="2"/>
        <v>1</v>
      </c>
      <c r="M16" s="11">
        <v>88945</v>
      </c>
      <c r="N16" s="11">
        <v>88945</v>
      </c>
      <c r="O16" s="1"/>
      <c r="P16" s="16">
        <f t="shared" si="3"/>
        <v>1</v>
      </c>
      <c r="Q16" s="11">
        <v>88945</v>
      </c>
      <c r="R16" s="11">
        <v>88945</v>
      </c>
      <c r="S16" s="1"/>
      <c r="T16" s="16">
        <f t="shared" si="4"/>
        <v>0.9745910394063747</v>
      </c>
      <c r="U16" s="11">
        <v>88945</v>
      </c>
      <c r="V16" s="11">
        <v>88945</v>
      </c>
      <c r="W16" s="11">
        <v>2260</v>
      </c>
      <c r="X16" s="16">
        <f t="shared" si="5"/>
        <v>0.99550283883298663</v>
      </c>
      <c r="Y16" s="11">
        <v>88945</v>
      </c>
      <c r="Z16" s="11">
        <v>88685</v>
      </c>
      <c r="AA16" s="11">
        <v>140</v>
      </c>
      <c r="AB16" s="16">
        <f t="shared" si="6"/>
        <v>1</v>
      </c>
      <c r="AC16" s="11">
        <v>103285</v>
      </c>
      <c r="AD16" s="11">
        <v>103285</v>
      </c>
      <c r="AE16" s="1"/>
      <c r="AF16" s="14">
        <f t="shared" si="7"/>
        <v>2.8273047242923476E-2</v>
      </c>
      <c r="AG16" s="11">
        <v>302585</v>
      </c>
      <c r="AH16" s="11">
        <v>8555</v>
      </c>
      <c r="AI16" s="1"/>
      <c r="AJ16" s="16">
        <f t="shared" si="8"/>
        <v>1</v>
      </c>
      <c r="AK16" s="11">
        <v>302585</v>
      </c>
      <c r="AL16" s="11">
        <v>302585</v>
      </c>
      <c r="AM16" s="1"/>
      <c r="AN16" s="1"/>
      <c r="AO16" s="11">
        <v>324630</v>
      </c>
      <c r="AP16" s="1"/>
      <c r="AQ16" s="1"/>
      <c r="AR16" s="16">
        <f t="shared" si="9"/>
        <v>9.5675595287274651E-2</v>
      </c>
      <c r="AS16" s="11">
        <v>302585</v>
      </c>
      <c r="AT16" s="11">
        <v>28950</v>
      </c>
      <c r="AU16" s="1"/>
      <c r="AV16" s="16">
        <f t="shared" si="10"/>
        <v>0.24891787059418741</v>
      </c>
      <c r="AW16" s="11">
        <v>88945</v>
      </c>
      <c r="AX16" s="11">
        <v>22140</v>
      </c>
      <c r="AY16" s="1"/>
      <c r="AZ16" s="16">
        <f t="shared" si="11"/>
        <v>1</v>
      </c>
      <c r="BA16" s="11">
        <v>103285</v>
      </c>
      <c r="BB16" s="11">
        <v>103285</v>
      </c>
      <c r="BC16" s="1"/>
    </row>
    <row r="17" spans="1:55" x14ac:dyDescent="0.35">
      <c r="A17" s="17">
        <v>43770</v>
      </c>
      <c r="B17" s="14">
        <f>82/100</f>
        <v>0.82</v>
      </c>
      <c r="C17" s="14">
        <f t="shared" si="0"/>
        <v>0.68741925867037668</v>
      </c>
      <c r="D17" s="11">
        <v>100630</v>
      </c>
      <c r="E17" s="11">
        <v>100385</v>
      </c>
      <c r="F17" s="11">
        <v>31210</v>
      </c>
      <c r="G17" s="14">
        <f t="shared" si="12"/>
        <v>0.99990062605584817</v>
      </c>
      <c r="H17" s="11">
        <v>100630</v>
      </c>
      <c r="I17" s="11">
        <v>100620</v>
      </c>
      <c r="J17" s="11">
        <v>4810</v>
      </c>
      <c r="K17" s="10" t="s">
        <v>41</v>
      </c>
      <c r="L17" s="16">
        <f t="shared" si="2"/>
        <v>0.99995031302792403</v>
      </c>
      <c r="M17" s="11">
        <v>100630</v>
      </c>
      <c r="N17" s="11">
        <v>100625</v>
      </c>
      <c r="O17" s="1"/>
      <c r="P17" s="16">
        <f t="shared" si="3"/>
        <v>1</v>
      </c>
      <c r="Q17" s="11">
        <v>100630</v>
      </c>
      <c r="R17" s="11">
        <v>100630</v>
      </c>
      <c r="S17" s="1"/>
      <c r="T17" s="16">
        <f t="shared" si="4"/>
        <v>0.97684587101262044</v>
      </c>
      <c r="U17" s="11">
        <v>100630</v>
      </c>
      <c r="V17" s="11">
        <v>100630</v>
      </c>
      <c r="W17" s="11">
        <v>2330</v>
      </c>
      <c r="X17" s="16">
        <f t="shared" si="5"/>
        <v>0.99542879856901523</v>
      </c>
      <c r="Y17" s="11">
        <v>100630</v>
      </c>
      <c r="Z17" s="11">
        <v>100375</v>
      </c>
      <c r="AA17" s="11">
        <v>205</v>
      </c>
      <c r="AB17" s="16">
        <f t="shared" si="6"/>
        <v>1</v>
      </c>
      <c r="AC17" s="11">
        <v>115060</v>
      </c>
      <c r="AD17" s="11">
        <v>115060</v>
      </c>
      <c r="AE17" s="1"/>
      <c r="AF17" s="14">
        <f t="shared" si="7"/>
        <v>2.6607856562793585E-2</v>
      </c>
      <c r="AG17" s="11">
        <v>314005</v>
      </c>
      <c r="AH17" s="11">
        <v>8355</v>
      </c>
      <c r="AI17" s="1"/>
      <c r="AJ17" s="16">
        <f t="shared" si="8"/>
        <v>1</v>
      </c>
      <c r="AK17" s="11">
        <v>314005</v>
      </c>
      <c r="AL17" s="11">
        <v>314005</v>
      </c>
      <c r="AM17" s="1"/>
      <c r="AN17" s="1"/>
      <c r="AO17" s="11">
        <v>313165</v>
      </c>
      <c r="AP17" s="1"/>
      <c r="AQ17" s="1"/>
      <c r="AR17" s="16">
        <f t="shared" si="9"/>
        <v>0.96934762185315515</v>
      </c>
      <c r="AS17" s="11">
        <v>314005</v>
      </c>
      <c r="AT17" s="11">
        <v>304380</v>
      </c>
      <c r="AU17" s="1"/>
      <c r="AV17" s="16">
        <f t="shared" si="10"/>
        <v>1</v>
      </c>
      <c r="AW17" s="11">
        <v>100630</v>
      </c>
      <c r="AX17" s="11">
        <v>100630</v>
      </c>
      <c r="AY17" s="1"/>
      <c r="AZ17" s="16">
        <f t="shared" si="11"/>
        <v>1</v>
      </c>
      <c r="BA17" s="11">
        <v>115060</v>
      </c>
      <c r="BB17" s="11">
        <v>115060</v>
      </c>
      <c r="BC17" s="1"/>
    </row>
    <row r="18" spans="1:55" x14ac:dyDescent="0.35">
      <c r="A18" s="17">
        <v>43800</v>
      </c>
      <c r="B18" s="14">
        <f>82/100</f>
        <v>0.82</v>
      </c>
      <c r="C18" s="14">
        <f t="shared" si="0"/>
        <v>0.69038461538461537</v>
      </c>
      <c r="D18" s="11">
        <v>83200</v>
      </c>
      <c r="E18" s="11">
        <v>82955</v>
      </c>
      <c r="F18" s="11">
        <v>25515</v>
      </c>
      <c r="G18" s="14">
        <f t="shared" si="12"/>
        <v>0.9998197115384615</v>
      </c>
      <c r="H18" s="11">
        <v>83200</v>
      </c>
      <c r="I18" s="11">
        <v>83185</v>
      </c>
      <c r="J18" s="11">
        <v>4565</v>
      </c>
      <c r="K18" s="10" t="s">
        <v>41</v>
      </c>
      <c r="L18" s="16">
        <f t="shared" si="2"/>
        <v>1</v>
      </c>
      <c r="M18" s="11">
        <v>83200</v>
      </c>
      <c r="N18" s="11">
        <v>83200</v>
      </c>
      <c r="O18" s="1"/>
      <c r="P18" s="16">
        <f t="shared" si="3"/>
        <v>1</v>
      </c>
      <c r="Q18" s="11">
        <v>83200</v>
      </c>
      <c r="R18" s="11">
        <v>83200</v>
      </c>
      <c r="S18" s="1"/>
      <c r="T18" s="16">
        <f t="shared" si="4"/>
        <v>0.97307692307692306</v>
      </c>
      <c r="U18" s="11">
        <v>83200</v>
      </c>
      <c r="V18" s="11">
        <v>83200</v>
      </c>
      <c r="W18" s="11">
        <v>2240</v>
      </c>
      <c r="X18" s="16">
        <f t="shared" si="5"/>
        <v>0.99561298076923077</v>
      </c>
      <c r="Y18" s="11">
        <v>83200</v>
      </c>
      <c r="Z18" s="11">
        <v>82970</v>
      </c>
      <c r="AA18" s="11">
        <v>135</v>
      </c>
      <c r="AB18" s="16">
        <f t="shared" si="6"/>
        <v>1</v>
      </c>
      <c r="AC18" s="11">
        <v>95650</v>
      </c>
      <c r="AD18" s="11">
        <v>95650</v>
      </c>
      <c r="AE18" s="1"/>
      <c r="AF18" s="14">
        <f t="shared" si="7"/>
        <v>2.2694909220363119E-2</v>
      </c>
      <c r="AG18" s="11">
        <v>280900</v>
      </c>
      <c r="AH18" s="11">
        <v>6375</v>
      </c>
      <c r="AI18" s="1"/>
      <c r="AJ18" s="16">
        <f t="shared" si="8"/>
        <v>1</v>
      </c>
      <c r="AK18" s="11">
        <v>280900</v>
      </c>
      <c r="AL18" s="11">
        <v>280900</v>
      </c>
      <c r="AM18" s="1"/>
      <c r="AN18" s="1"/>
      <c r="AO18" s="11">
        <v>285245</v>
      </c>
      <c r="AP18" s="1"/>
      <c r="AQ18" s="1"/>
      <c r="AR18" s="16">
        <f t="shared" si="9"/>
        <v>0.97477750088999648</v>
      </c>
      <c r="AS18" s="11">
        <v>280900</v>
      </c>
      <c r="AT18" s="11">
        <v>273815</v>
      </c>
      <c r="AU18" s="1"/>
      <c r="AV18" s="16">
        <f t="shared" si="10"/>
        <v>1</v>
      </c>
      <c r="AW18" s="11">
        <v>83200</v>
      </c>
      <c r="AX18" s="11">
        <v>83200</v>
      </c>
      <c r="AY18" s="1"/>
      <c r="AZ18" s="16">
        <f t="shared" si="11"/>
        <v>1</v>
      </c>
      <c r="BA18" s="11">
        <v>95650</v>
      </c>
      <c r="BB18" s="11">
        <v>95650</v>
      </c>
      <c r="BC18" s="1"/>
    </row>
    <row r="19" spans="1:55" x14ac:dyDescent="0.35">
      <c r="A19" s="17">
        <v>43831</v>
      </c>
      <c r="B19" s="14">
        <f>83.4/100</f>
        <v>0.83400000000000007</v>
      </c>
      <c r="C19" s="14">
        <f t="shared" si="0"/>
        <v>0.6878545454545455</v>
      </c>
      <c r="D19" s="11">
        <v>171875</v>
      </c>
      <c r="E19" s="11">
        <v>171240</v>
      </c>
      <c r="F19" s="11">
        <v>53015</v>
      </c>
      <c r="G19" s="14">
        <f t="shared" si="12"/>
        <v>0.99985454545454544</v>
      </c>
      <c r="H19" s="11">
        <v>171875</v>
      </c>
      <c r="I19" s="11">
        <v>171850</v>
      </c>
      <c r="J19" s="11">
        <v>7555</v>
      </c>
      <c r="K19" s="10" t="s">
        <v>41</v>
      </c>
      <c r="L19" s="16">
        <f t="shared" si="2"/>
        <v>1</v>
      </c>
      <c r="M19" s="11">
        <v>171875</v>
      </c>
      <c r="N19" s="11">
        <v>171875</v>
      </c>
      <c r="O19" s="1"/>
      <c r="P19" s="16">
        <f t="shared" si="3"/>
        <v>1</v>
      </c>
      <c r="Q19" s="11">
        <v>171875</v>
      </c>
      <c r="R19" s="11">
        <v>171875</v>
      </c>
      <c r="S19" s="1"/>
      <c r="T19" s="16">
        <f t="shared" si="4"/>
        <v>0.98655999999999999</v>
      </c>
      <c r="U19" s="11">
        <v>171875</v>
      </c>
      <c r="V19" s="11">
        <v>171875</v>
      </c>
      <c r="W19" s="11">
        <v>2310</v>
      </c>
      <c r="X19" s="16">
        <f t="shared" si="5"/>
        <v>0.99822545454545453</v>
      </c>
      <c r="Y19" s="11">
        <v>171875</v>
      </c>
      <c r="Z19" s="11">
        <v>171875</v>
      </c>
      <c r="AA19" s="11">
        <v>305</v>
      </c>
      <c r="AB19" s="16">
        <f t="shared" si="6"/>
        <v>1</v>
      </c>
      <c r="AC19" s="11">
        <v>200665</v>
      </c>
      <c r="AD19" s="11">
        <v>200665</v>
      </c>
      <c r="AE19" s="1"/>
      <c r="AF19" s="14">
        <f t="shared" si="7"/>
        <v>0.20439041526759966</v>
      </c>
      <c r="AG19" s="11">
        <v>612015</v>
      </c>
      <c r="AH19" s="11">
        <v>125090</v>
      </c>
      <c r="AI19" s="1"/>
      <c r="AJ19" s="16">
        <f t="shared" si="8"/>
        <v>1</v>
      </c>
      <c r="AK19" s="11">
        <v>612015</v>
      </c>
      <c r="AL19" s="11">
        <v>612015</v>
      </c>
      <c r="AM19" s="1"/>
      <c r="AN19" s="1"/>
      <c r="AO19" s="11">
        <v>685235</v>
      </c>
      <c r="AP19" s="1"/>
      <c r="AQ19" s="1"/>
      <c r="AR19" s="16">
        <f t="shared" si="9"/>
        <v>0.97190428339174695</v>
      </c>
      <c r="AS19" s="11">
        <v>612015</v>
      </c>
      <c r="AT19" s="11">
        <v>594820</v>
      </c>
      <c r="AU19" s="1"/>
      <c r="AV19" s="16">
        <f t="shared" si="10"/>
        <v>1</v>
      </c>
      <c r="AW19" s="11">
        <v>171875</v>
      </c>
      <c r="AX19" s="11">
        <v>171875</v>
      </c>
      <c r="AY19" s="1"/>
      <c r="AZ19" s="16">
        <f t="shared" si="11"/>
        <v>1</v>
      </c>
      <c r="BA19" s="11">
        <v>200665</v>
      </c>
      <c r="BB19" s="11">
        <v>200665</v>
      </c>
      <c r="BC19" s="1"/>
    </row>
    <row r="20" spans="1:55" x14ac:dyDescent="0.35">
      <c r="A20" s="17">
        <v>43862</v>
      </c>
      <c r="B20" s="15">
        <f>85/100</f>
        <v>0.85</v>
      </c>
      <c r="C20" s="14">
        <f t="shared" si="0"/>
        <v>0.68843069873997709</v>
      </c>
      <c r="D20" s="11">
        <v>78570</v>
      </c>
      <c r="E20" s="11">
        <v>78345</v>
      </c>
      <c r="F20" s="11">
        <v>24255</v>
      </c>
      <c r="G20" s="14">
        <f t="shared" si="12"/>
        <v>0.99987272495863566</v>
      </c>
      <c r="H20" s="11">
        <v>78570</v>
      </c>
      <c r="I20" s="11">
        <v>78560</v>
      </c>
      <c r="J20" s="11">
        <v>3495</v>
      </c>
      <c r="K20" s="10" t="s">
        <v>41</v>
      </c>
      <c r="L20" s="16">
        <f t="shared" si="2"/>
        <v>0.99993636247931783</v>
      </c>
      <c r="M20" s="11">
        <v>78570</v>
      </c>
      <c r="N20" s="11">
        <v>78565</v>
      </c>
      <c r="O20" s="1"/>
      <c r="P20" s="16">
        <f t="shared" si="3"/>
        <v>1</v>
      </c>
      <c r="Q20" s="11">
        <v>78570</v>
      </c>
      <c r="R20" s="11">
        <v>78570</v>
      </c>
      <c r="S20" s="1"/>
      <c r="T20" s="16">
        <f>IF(W20="*",(V20/U20),(V20-W20)/U20)</f>
        <v>1</v>
      </c>
      <c r="U20" s="11">
        <v>78570</v>
      </c>
      <c r="V20" s="11">
        <v>78570</v>
      </c>
      <c r="W20" s="10" t="s">
        <v>41</v>
      </c>
      <c r="X20" s="16">
        <f t="shared" si="5"/>
        <v>0.99529082346951758</v>
      </c>
      <c r="Y20" s="11">
        <v>78570</v>
      </c>
      <c r="Z20" s="11">
        <v>78330</v>
      </c>
      <c r="AA20" s="11">
        <v>130</v>
      </c>
      <c r="AB20" s="16">
        <f t="shared" si="6"/>
        <v>1</v>
      </c>
      <c r="AC20" s="11">
        <v>91400</v>
      </c>
      <c r="AD20" s="11">
        <v>91400</v>
      </c>
      <c r="AE20" s="1"/>
      <c r="AF20" s="14">
        <f t="shared" si="7"/>
        <v>0.38801796763660634</v>
      </c>
      <c r="AG20" s="11">
        <v>277165</v>
      </c>
      <c r="AH20" s="11">
        <v>107545</v>
      </c>
      <c r="AI20" s="1"/>
      <c r="AJ20" s="16">
        <f t="shared" si="8"/>
        <v>1</v>
      </c>
      <c r="AK20" s="11">
        <v>277165</v>
      </c>
      <c r="AL20" s="11">
        <v>277165</v>
      </c>
      <c r="AM20" s="1"/>
      <c r="AN20" s="1"/>
      <c r="AO20" s="11">
        <v>305655</v>
      </c>
      <c r="AP20" s="1"/>
      <c r="AQ20" s="1"/>
      <c r="AR20" s="16">
        <f t="shared" si="9"/>
        <v>0.97380621651362909</v>
      </c>
      <c r="AS20" s="11">
        <v>277165</v>
      </c>
      <c r="AT20" s="11">
        <v>269905</v>
      </c>
      <c r="AU20" s="1"/>
      <c r="AV20" s="16">
        <f t="shared" si="10"/>
        <v>1</v>
      </c>
      <c r="AW20" s="11">
        <v>78570</v>
      </c>
      <c r="AX20" s="11">
        <v>78570</v>
      </c>
      <c r="AY20" s="1"/>
      <c r="AZ20" s="16">
        <f t="shared" si="11"/>
        <v>1</v>
      </c>
      <c r="BA20" s="11">
        <v>91400</v>
      </c>
      <c r="BB20" s="11">
        <v>91400</v>
      </c>
      <c r="BC20" s="1"/>
    </row>
    <row r="21" spans="1:55" x14ac:dyDescent="0.35">
      <c r="A21" s="17">
        <v>43891</v>
      </c>
      <c r="B21" s="15">
        <f>82.1/100</f>
        <v>0.82099999999999995</v>
      </c>
      <c r="C21" s="14">
        <f t="shared" si="0"/>
        <v>0.6805101373446697</v>
      </c>
      <c r="D21" s="11">
        <v>76450</v>
      </c>
      <c r="E21" s="11">
        <v>76220</v>
      </c>
      <c r="F21" s="11">
        <v>24195</v>
      </c>
      <c r="G21" s="14">
        <f t="shared" si="12"/>
        <v>0.99993459777632443</v>
      </c>
      <c r="H21" s="11">
        <v>76450</v>
      </c>
      <c r="I21" s="11">
        <v>76445</v>
      </c>
      <c r="J21" s="11">
        <v>3580</v>
      </c>
      <c r="K21" s="10" t="s">
        <v>41</v>
      </c>
      <c r="L21" s="18">
        <f t="shared" si="2"/>
        <v>1</v>
      </c>
      <c r="M21" s="11">
        <v>76450</v>
      </c>
      <c r="N21" s="11">
        <v>76450</v>
      </c>
      <c r="O21" s="1"/>
      <c r="P21" s="16">
        <f t="shared" si="3"/>
        <v>1</v>
      </c>
      <c r="Q21" s="11">
        <v>76450</v>
      </c>
      <c r="R21" s="11">
        <v>76450</v>
      </c>
      <c r="S21" s="1"/>
      <c r="T21" s="16">
        <f t="shared" si="4"/>
        <v>0.99705689993459778</v>
      </c>
      <c r="U21" s="11">
        <v>76450</v>
      </c>
      <c r="V21" s="11">
        <v>76235</v>
      </c>
      <c r="W21" s="11">
        <v>10</v>
      </c>
      <c r="X21" s="16">
        <f t="shared" si="5"/>
        <v>0.99548724656638321</v>
      </c>
      <c r="Y21" s="11">
        <v>76450</v>
      </c>
      <c r="Z21" s="11">
        <v>76235</v>
      </c>
      <c r="AA21" s="11">
        <v>130</v>
      </c>
      <c r="AB21" s="16">
        <f t="shared" si="6"/>
        <v>1</v>
      </c>
      <c r="AC21" s="11">
        <v>89130</v>
      </c>
      <c r="AD21" s="11">
        <v>89130</v>
      </c>
      <c r="AE21" s="1"/>
      <c r="AF21" s="14">
        <f t="shared" si="7"/>
        <v>2.2968903080663305E-2</v>
      </c>
      <c r="AG21" s="11">
        <v>275590</v>
      </c>
      <c r="AH21" s="11">
        <v>6330</v>
      </c>
      <c r="AI21" s="1"/>
      <c r="AJ21" s="16">
        <f t="shared" si="8"/>
        <v>1</v>
      </c>
      <c r="AK21" s="11">
        <v>275590</v>
      </c>
      <c r="AL21" s="11">
        <v>275590</v>
      </c>
      <c r="AM21" s="1"/>
      <c r="AN21" s="1"/>
      <c r="AO21" s="11">
        <v>239665</v>
      </c>
      <c r="AP21" s="1"/>
      <c r="AQ21" s="1"/>
      <c r="AR21" s="16">
        <f t="shared" si="9"/>
        <v>0.97352951848760838</v>
      </c>
      <c r="AS21" s="11">
        <v>275590</v>
      </c>
      <c r="AT21" s="11">
        <v>268295</v>
      </c>
      <c r="AU21" s="1"/>
      <c r="AV21" s="16">
        <f t="shared" si="10"/>
        <v>1</v>
      </c>
      <c r="AW21" s="11">
        <v>76450</v>
      </c>
      <c r="AX21" s="11">
        <v>76450</v>
      </c>
      <c r="AY21" s="1"/>
      <c r="AZ21" s="16">
        <f t="shared" si="11"/>
        <v>1</v>
      </c>
      <c r="BA21" s="11">
        <v>89130</v>
      </c>
      <c r="BB21" s="11">
        <v>89130</v>
      </c>
      <c r="BC21" s="1"/>
    </row>
    <row r="22" spans="1:55" x14ac:dyDescent="0.35">
      <c r="A22" s="17">
        <v>43922</v>
      </c>
      <c r="B22" s="15">
        <f>82/100</f>
        <v>0.82</v>
      </c>
      <c r="C22" s="14">
        <f t="shared" si="0"/>
        <v>0.6706243772832946</v>
      </c>
      <c r="D22" s="1">
        <v>60220</v>
      </c>
      <c r="E22" s="1">
        <v>60000</v>
      </c>
      <c r="F22" s="1">
        <v>19615</v>
      </c>
      <c r="G22" s="14">
        <f t="shared" si="12"/>
        <v>0.9998339422118897</v>
      </c>
      <c r="H22" s="1">
        <v>60220</v>
      </c>
      <c r="I22" s="1">
        <v>60210</v>
      </c>
      <c r="J22" s="1">
        <v>3770</v>
      </c>
      <c r="K22" s="10" t="s">
        <v>41</v>
      </c>
      <c r="L22" s="18">
        <f t="shared" si="2"/>
        <v>1</v>
      </c>
      <c r="M22" s="1">
        <v>60220</v>
      </c>
      <c r="N22" s="1">
        <v>60220</v>
      </c>
      <c r="O22" s="1"/>
      <c r="P22" s="18">
        <f t="shared" si="3"/>
        <v>1</v>
      </c>
      <c r="Q22" s="1">
        <v>60220</v>
      </c>
      <c r="R22" s="1">
        <v>60220</v>
      </c>
      <c r="S22" s="1"/>
      <c r="T22" s="16">
        <f t="shared" si="4"/>
        <v>1</v>
      </c>
      <c r="U22" s="1">
        <v>60220</v>
      </c>
      <c r="V22" s="1">
        <v>60220</v>
      </c>
      <c r="W22" s="10" t="s">
        <v>41</v>
      </c>
      <c r="X22" s="16">
        <f t="shared" si="5"/>
        <v>0.99842245101295246</v>
      </c>
      <c r="Y22" s="1">
        <v>60220</v>
      </c>
      <c r="Z22" s="1">
        <v>60220</v>
      </c>
      <c r="AA22" s="1">
        <v>95</v>
      </c>
      <c r="AB22" s="18">
        <f t="shared" si="6"/>
        <v>1</v>
      </c>
      <c r="AC22" s="1">
        <v>71185</v>
      </c>
      <c r="AD22" s="1">
        <v>71185</v>
      </c>
      <c r="AE22" s="1"/>
      <c r="AF22" s="15">
        <f t="shared" si="7"/>
        <v>2.6395392201549746E-2</v>
      </c>
      <c r="AG22" s="1">
        <v>241330</v>
      </c>
      <c r="AH22" s="1">
        <v>6370</v>
      </c>
      <c r="AI22" s="1"/>
      <c r="AJ22" s="18">
        <f t="shared" si="8"/>
        <v>1</v>
      </c>
      <c r="AK22" s="1">
        <v>241330</v>
      </c>
      <c r="AL22" s="1">
        <v>241330</v>
      </c>
      <c r="AM22" s="1"/>
      <c r="AN22" s="1"/>
      <c r="AO22" s="1">
        <v>145390</v>
      </c>
      <c r="AP22" s="1"/>
      <c r="AQ22" s="1"/>
      <c r="AR22" s="18">
        <f t="shared" si="9"/>
        <v>0.97242365226039029</v>
      </c>
      <c r="AS22" s="1">
        <v>241330</v>
      </c>
      <c r="AT22" s="1">
        <v>234675</v>
      </c>
      <c r="AU22" s="1"/>
      <c r="AV22" s="18">
        <f t="shared" si="10"/>
        <v>1</v>
      </c>
      <c r="AW22" s="1">
        <v>60220</v>
      </c>
      <c r="AX22" s="1">
        <v>60220</v>
      </c>
      <c r="AY22" s="1"/>
      <c r="AZ22" s="18">
        <f t="shared" si="11"/>
        <v>1</v>
      </c>
      <c r="BA22" s="1">
        <v>71185</v>
      </c>
      <c r="BB22" s="1">
        <v>71185</v>
      </c>
      <c r="BC22" s="1"/>
    </row>
    <row r="23" spans="1:55" x14ac:dyDescent="0.35">
      <c r="A23" s="17">
        <v>43952</v>
      </c>
      <c r="B23" s="15">
        <f>82/100</f>
        <v>0.82</v>
      </c>
      <c r="C23" s="14">
        <f>IF(F23="*",(E23/D23),(E23-F23)/D23)</f>
        <v>0.6621201657458563</v>
      </c>
      <c r="D23" s="1">
        <v>57920</v>
      </c>
      <c r="E23" s="1">
        <v>57700</v>
      </c>
      <c r="F23" s="1">
        <v>19350</v>
      </c>
      <c r="G23" s="14">
        <f t="shared" si="12"/>
        <v>0.99982734806629836</v>
      </c>
      <c r="H23" s="1">
        <v>57920</v>
      </c>
      <c r="I23" s="1">
        <v>57910</v>
      </c>
      <c r="J23" s="1">
        <v>3630</v>
      </c>
      <c r="K23" s="10" t="s">
        <v>41</v>
      </c>
      <c r="L23" s="18">
        <f t="shared" si="2"/>
        <v>1</v>
      </c>
      <c r="M23" s="1">
        <v>57920</v>
      </c>
      <c r="N23" s="1">
        <v>57920</v>
      </c>
      <c r="O23" s="1"/>
      <c r="P23" s="18">
        <f t="shared" si="3"/>
        <v>1</v>
      </c>
      <c r="Q23" s="1">
        <v>57920</v>
      </c>
      <c r="R23" s="1">
        <v>57920</v>
      </c>
      <c r="S23" s="1"/>
      <c r="T23" s="16">
        <f t="shared" si="4"/>
        <v>1</v>
      </c>
      <c r="U23" s="1">
        <v>57920</v>
      </c>
      <c r="V23" s="1">
        <v>57920</v>
      </c>
      <c r="W23" s="10" t="s">
        <v>41</v>
      </c>
      <c r="X23" s="16">
        <f t="shared" si="5"/>
        <v>0.99525207182320441</v>
      </c>
      <c r="Y23" s="1">
        <v>57920</v>
      </c>
      <c r="Z23" s="1">
        <v>57735</v>
      </c>
      <c r="AA23" s="1">
        <v>90</v>
      </c>
      <c r="AB23" s="18">
        <f t="shared" si="6"/>
        <v>1</v>
      </c>
      <c r="AC23" s="1">
        <v>69590</v>
      </c>
      <c r="AD23" s="1">
        <v>69590</v>
      </c>
      <c r="AE23" s="1"/>
      <c r="AF23" s="15">
        <f t="shared" si="7"/>
        <v>2.3714623350091134E-2</v>
      </c>
      <c r="AG23" s="1">
        <v>249635</v>
      </c>
      <c r="AH23" s="1">
        <v>5920</v>
      </c>
      <c r="AI23" s="1"/>
      <c r="AJ23" s="18">
        <f t="shared" si="8"/>
        <v>1</v>
      </c>
      <c r="AK23" s="1">
        <v>249635</v>
      </c>
      <c r="AL23" s="1">
        <v>249635</v>
      </c>
      <c r="AM23" s="1"/>
      <c r="AN23" s="1"/>
      <c r="AO23" s="1">
        <v>176570</v>
      </c>
      <c r="AP23" s="1"/>
      <c r="AQ23" s="1"/>
      <c r="AR23" s="18">
        <f t="shared" si="9"/>
        <v>0.97264005447954016</v>
      </c>
      <c r="AS23" s="1">
        <v>249635</v>
      </c>
      <c r="AT23" s="1">
        <v>242805</v>
      </c>
      <c r="AU23" s="1"/>
      <c r="AV23" s="18">
        <f t="shared" si="10"/>
        <v>1</v>
      </c>
      <c r="AW23" s="1">
        <v>57920</v>
      </c>
      <c r="AX23" s="1">
        <v>57920</v>
      </c>
      <c r="AY23" s="1"/>
      <c r="AZ23" s="18">
        <f t="shared" si="11"/>
        <v>1</v>
      </c>
      <c r="BA23" s="1">
        <v>69590</v>
      </c>
      <c r="BB23" s="1">
        <v>69590</v>
      </c>
      <c r="BC23" s="1"/>
    </row>
    <row r="24" spans="1:55" x14ac:dyDescent="0.35">
      <c r="A24" s="17">
        <v>43983</v>
      </c>
      <c r="B24" s="15">
        <f>81.9/100</f>
        <v>0.81900000000000006</v>
      </c>
      <c r="C24" s="35">
        <f t="shared" ref="C24:C27" si="13">IF(F24="*",(E24/D24),(E24-F24)/D24)</f>
        <v>0.99630912925579995</v>
      </c>
      <c r="D24" s="1">
        <v>66380</v>
      </c>
      <c r="E24" s="1">
        <v>66135</v>
      </c>
      <c r="F24" s="10" t="s">
        <v>41</v>
      </c>
      <c r="G24" s="14">
        <f t="shared" si="12"/>
        <v>0.99992467610726121</v>
      </c>
      <c r="H24" s="1">
        <v>66380</v>
      </c>
      <c r="I24" s="1">
        <v>66375</v>
      </c>
      <c r="J24" s="1">
        <v>3525</v>
      </c>
      <c r="K24" s="10" t="s">
        <v>41</v>
      </c>
      <c r="L24" s="18">
        <f t="shared" si="2"/>
        <v>1</v>
      </c>
      <c r="M24" s="1">
        <v>66380</v>
      </c>
      <c r="N24" s="1">
        <v>66380</v>
      </c>
      <c r="O24" s="1"/>
      <c r="P24" s="18">
        <f t="shared" si="3"/>
        <v>1</v>
      </c>
      <c r="Q24" s="1">
        <v>66380</v>
      </c>
      <c r="R24" s="1">
        <v>66380</v>
      </c>
      <c r="S24" s="1"/>
      <c r="T24" s="16">
        <f t="shared" si="4"/>
        <v>0.99992467610726121</v>
      </c>
      <c r="U24" s="1">
        <v>66380</v>
      </c>
      <c r="V24" s="1">
        <v>66380</v>
      </c>
      <c r="W24" s="1">
        <v>5</v>
      </c>
      <c r="X24" s="16">
        <f>IF(AA24="*",(Z24/Y24),(Z24-AA24)/Y24)</f>
        <v>0.9914884001205182</v>
      </c>
      <c r="Y24" s="1">
        <v>66380</v>
      </c>
      <c r="Z24" s="1">
        <v>66165</v>
      </c>
      <c r="AA24" s="1">
        <v>350</v>
      </c>
      <c r="AB24" s="18">
        <f t="shared" si="6"/>
        <v>1</v>
      </c>
      <c r="AC24" s="1">
        <v>80600</v>
      </c>
      <c r="AD24" s="1">
        <v>80600</v>
      </c>
      <c r="AE24" s="1"/>
      <c r="AF24" s="15">
        <f t="shared" si="7"/>
        <v>2.1435710100975291E-2</v>
      </c>
      <c r="AG24" s="1">
        <v>290170</v>
      </c>
      <c r="AH24" s="1">
        <v>6220</v>
      </c>
      <c r="AI24" s="1"/>
      <c r="AJ24" s="18">
        <f t="shared" si="8"/>
        <v>1</v>
      </c>
      <c r="AK24" s="1">
        <v>290170</v>
      </c>
      <c r="AL24" s="1">
        <v>290170</v>
      </c>
      <c r="AM24" s="1"/>
      <c r="AN24" s="1"/>
      <c r="AO24" s="1">
        <v>245260</v>
      </c>
      <c r="AP24" s="1"/>
      <c r="AQ24" s="1"/>
      <c r="AR24" s="18">
        <f t="shared" si="9"/>
        <v>0.97146500327394281</v>
      </c>
      <c r="AS24" s="1">
        <v>290170</v>
      </c>
      <c r="AT24" s="1">
        <v>281890</v>
      </c>
      <c r="AU24" s="1"/>
      <c r="AV24" s="18">
        <f t="shared" si="10"/>
        <v>1</v>
      </c>
      <c r="AW24" s="1">
        <v>66380</v>
      </c>
      <c r="AX24" s="1">
        <v>66380</v>
      </c>
      <c r="AY24" s="1"/>
      <c r="AZ24" s="18">
        <f t="shared" si="11"/>
        <v>1</v>
      </c>
      <c r="BA24" s="1">
        <v>80600</v>
      </c>
      <c r="BB24" s="1">
        <v>80600</v>
      </c>
      <c r="BC24" s="1"/>
    </row>
    <row r="25" spans="1:55" x14ac:dyDescent="0.35">
      <c r="A25" s="17">
        <v>44013</v>
      </c>
      <c r="B25" s="15">
        <f>87.6/100</f>
        <v>0.87599999999999989</v>
      </c>
      <c r="C25" s="35">
        <f t="shared" si="13"/>
        <v>0.99660919125604208</v>
      </c>
      <c r="D25" s="1">
        <v>69305</v>
      </c>
      <c r="E25" s="1">
        <v>69070</v>
      </c>
      <c r="F25" s="10" t="s">
        <v>41</v>
      </c>
      <c r="G25" s="14">
        <f t="shared" si="12"/>
        <v>0.99985571026621456</v>
      </c>
      <c r="H25" s="1">
        <v>69305</v>
      </c>
      <c r="I25" s="1">
        <v>69295</v>
      </c>
      <c r="J25" s="1">
        <v>3455</v>
      </c>
      <c r="K25" s="10" t="s">
        <v>41</v>
      </c>
      <c r="L25" s="18">
        <f t="shared" si="2"/>
        <v>1</v>
      </c>
      <c r="M25" s="1">
        <v>69305</v>
      </c>
      <c r="N25" s="1">
        <v>69305</v>
      </c>
      <c r="O25" s="1"/>
      <c r="P25" s="18">
        <f t="shared" si="3"/>
        <v>1</v>
      </c>
      <c r="Q25" s="1">
        <v>69305</v>
      </c>
      <c r="R25" s="1">
        <v>69305</v>
      </c>
      <c r="S25" s="1"/>
      <c r="T25" s="16">
        <f t="shared" si="4"/>
        <v>0.99992785513310722</v>
      </c>
      <c r="U25" s="1">
        <v>69305</v>
      </c>
      <c r="V25" s="1">
        <v>69305</v>
      </c>
      <c r="W25" s="1">
        <v>5</v>
      </c>
      <c r="X25" s="16">
        <f t="shared" ref="X25:X38" si="14">IF(AA25="*",(Z25/Y25),(Z25-AA25)/Y25)</f>
        <v>0.9970420604573984</v>
      </c>
      <c r="Y25" s="1">
        <v>69305</v>
      </c>
      <c r="Z25" s="1">
        <v>69100</v>
      </c>
      <c r="AA25" s="10" t="s">
        <v>41</v>
      </c>
      <c r="AB25" s="18">
        <f t="shared" si="6"/>
        <v>1</v>
      </c>
      <c r="AC25" s="1">
        <v>85850</v>
      </c>
      <c r="AD25" s="1">
        <v>85850</v>
      </c>
      <c r="AE25" s="1"/>
      <c r="AF25" s="18">
        <f t="shared" si="7"/>
        <v>0.41483342789981359</v>
      </c>
      <c r="AG25" s="1">
        <v>308425</v>
      </c>
      <c r="AH25" s="1">
        <v>127945</v>
      </c>
      <c r="AI25" s="1"/>
      <c r="AJ25" s="18">
        <f t="shared" si="8"/>
        <v>1</v>
      </c>
      <c r="AK25" s="1">
        <v>308425</v>
      </c>
      <c r="AL25" s="1">
        <v>308425</v>
      </c>
      <c r="AM25" s="1"/>
      <c r="AN25" s="1"/>
      <c r="AO25" s="1">
        <v>279000</v>
      </c>
      <c r="AP25" s="1"/>
      <c r="AQ25" s="1"/>
      <c r="AR25" s="18">
        <f t="shared" si="9"/>
        <v>0.97378617167869008</v>
      </c>
      <c r="AS25" s="1">
        <v>308425</v>
      </c>
      <c r="AT25" s="1">
        <v>300340</v>
      </c>
      <c r="AU25" s="1"/>
      <c r="AV25" s="18">
        <f t="shared" si="10"/>
        <v>1</v>
      </c>
      <c r="AW25" s="1">
        <v>69305</v>
      </c>
      <c r="AX25" s="1">
        <v>69305</v>
      </c>
      <c r="AY25" s="1"/>
      <c r="AZ25" s="18">
        <f t="shared" si="11"/>
        <v>1</v>
      </c>
      <c r="BA25" s="1">
        <v>85850</v>
      </c>
      <c r="BB25" s="1">
        <v>85850</v>
      </c>
      <c r="BC25" s="1"/>
    </row>
    <row r="26" spans="1:55" x14ac:dyDescent="0.35">
      <c r="A26" s="17">
        <v>44044</v>
      </c>
      <c r="B26" s="15">
        <f>86.3/100</f>
        <v>0.86299999999999999</v>
      </c>
      <c r="C26" s="14">
        <f t="shared" si="13"/>
        <v>0.7016915257061912</v>
      </c>
      <c r="D26" s="1">
        <v>60005</v>
      </c>
      <c r="E26" s="1">
        <v>60005</v>
      </c>
      <c r="F26" s="1">
        <v>17900</v>
      </c>
      <c r="G26" s="14">
        <f t="shared" si="12"/>
        <v>0.99991667361053249</v>
      </c>
      <c r="H26" s="1">
        <v>60005</v>
      </c>
      <c r="I26" s="1">
        <v>60000</v>
      </c>
      <c r="J26" s="1">
        <v>3165</v>
      </c>
      <c r="K26" s="10" t="s">
        <v>41</v>
      </c>
      <c r="L26" s="18">
        <f t="shared" si="2"/>
        <v>1</v>
      </c>
      <c r="M26" s="1">
        <v>60005</v>
      </c>
      <c r="N26" s="1">
        <v>60005</v>
      </c>
      <c r="O26" s="1"/>
      <c r="P26" s="18">
        <f t="shared" si="3"/>
        <v>1</v>
      </c>
      <c r="Q26" s="1">
        <v>60005</v>
      </c>
      <c r="R26" s="1">
        <v>60005</v>
      </c>
      <c r="S26" s="1"/>
      <c r="T26" s="16">
        <f t="shared" si="4"/>
        <v>1</v>
      </c>
      <c r="U26" s="1">
        <v>60005</v>
      </c>
      <c r="V26" s="1">
        <v>60005</v>
      </c>
      <c r="W26" s="10" t="s">
        <v>41</v>
      </c>
      <c r="X26" s="16">
        <f t="shared" si="14"/>
        <v>0.99683359720023335</v>
      </c>
      <c r="Y26" s="1">
        <v>60005</v>
      </c>
      <c r="Z26" s="1">
        <v>59815</v>
      </c>
      <c r="AA26" s="10" t="s">
        <v>41</v>
      </c>
      <c r="AB26" s="18">
        <f t="shared" si="6"/>
        <v>1</v>
      </c>
      <c r="AC26" s="1">
        <v>74400</v>
      </c>
      <c r="AD26" s="1">
        <v>74400</v>
      </c>
      <c r="AE26" s="1"/>
      <c r="AF26" s="18">
        <f t="shared" si="7"/>
        <v>0.54093599704032558</v>
      </c>
      <c r="AG26" s="1">
        <v>270300</v>
      </c>
      <c r="AH26" s="1">
        <v>146215</v>
      </c>
      <c r="AI26" s="1"/>
      <c r="AJ26" s="18">
        <f t="shared" si="8"/>
        <v>1</v>
      </c>
      <c r="AK26" s="1">
        <v>270300</v>
      </c>
      <c r="AL26" s="1">
        <v>270300</v>
      </c>
      <c r="AM26" s="1"/>
      <c r="AN26" s="1"/>
      <c r="AO26" s="1">
        <v>389180</v>
      </c>
      <c r="AP26" s="1"/>
      <c r="AQ26" s="1"/>
      <c r="AR26" s="18">
        <f t="shared" si="9"/>
        <v>0.97449130595634481</v>
      </c>
      <c r="AS26" s="1">
        <v>270300</v>
      </c>
      <c r="AT26" s="1">
        <v>263405</v>
      </c>
      <c r="AU26" s="1"/>
      <c r="AV26" s="18">
        <f t="shared" si="10"/>
        <v>1</v>
      </c>
      <c r="AW26" s="1">
        <v>60005</v>
      </c>
      <c r="AX26" s="1">
        <v>60005</v>
      </c>
      <c r="AY26" s="1"/>
      <c r="AZ26" s="18">
        <f t="shared" si="11"/>
        <v>1</v>
      </c>
      <c r="BA26" s="1">
        <v>74400</v>
      </c>
      <c r="BB26" s="1">
        <v>74400</v>
      </c>
      <c r="BC26" s="1"/>
    </row>
    <row r="27" spans="1:55" x14ac:dyDescent="0.35">
      <c r="A27" s="17">
        <v>44075</v>
      </c>
      <c r="B27" s="15">
        <v>0.87</v>
      </c>
      <c r="C27" s="14">
        <f t="shared" si="13"/>
        <v>0.68359590934217795</v>
      </c>
      <c r="D27" s="11">
        <v>72360</v>
      </c>
      <c r="E27" s="11">
        <v>72360</v>
      </c>
      <c r="F27" s="11">
        <v>22895</v>
      </c>
      <c r="G27" s="14">
        <f t="shared" si="12"/>
        <v>0.99993090105030402</v>
      </c>
      <c r="H27" s="11">
        <v>72360</v>
      </c>
      <c r="I27" s="11">
        <v>72355</v>
      </c>
      <c r="J27" s="11">
        <v>3885</v>
      </c>
      <c r="K27" s="10" t="s">
        <v>41</v>
      </c>
      <c r="L27" s="16">
        <f t="shared" si="2"/>
        <v>1</v>
      </c>
      <c r="M27" s="11">
        <v>72360</v>
      </c>
      <c r="N27" s="11">
        <v>72360</v>
      </c>
      <c r="O27" s="1"/>
      <c r="P27" s="16">
        <f t="shared" si="3"/>
        <v>1</v>
      </c>
      <c r="Q27" s="11">
        <v>72360</v>
      </c>
      <c r="R27" s="11">
        <v>72360</v>
      </c>
      <c r="S27" s="1"/>
      <c r="T27" s="16">
        <f t="shared" si="4"/>
        <v>1</v>
      </c>
      <c r="U27" s="11">
        <v>72360</v>
      </c>
      <c r="V27" s="11">
        <v>72360</v>
      </c>
      <c r="W27" s="10" t="s">
        <v>41</v>
      </c>
      <c r="X27" s="16">
        <f t="shared" si="14"/>
        <v>0.99689054726368154</v>
      </c>
      <c r="Y27" s="11">
        <v>72360</v>
      </c>
      <c r="Z27" s="11">
        <v>72135</v>
      </c>
      <c r="AA27" s="10" t="s">
        <v>41</v>
      </c>
      <c r="AB27" s="16">
        <f t="shared" si="6"/>
        <v>1</v>
      </c>
      <c r="AC27" s="11">
        <v>89525</v>
      </c>
      <c r="AD27" s="11">
        <v>89525</v>
      </c>
      <c r="AE27" s="1"/>
      <c r="AF27" s="16">
        <f t="shared" si="7"/>
        <v>0.65834778908781466</v>
      </c>
      <c r="AG27" s="11">
        <v>305530</v>
      </c>
      <c r="AH27" s="11">
        <v>201145</v>
      </c>
      <c r="AI27" s="1"/>
      <c r="AJ27" s="16">
        <f t="shared" si="8"/>
        <v>1</v>
      </c>
      <c r="AK27" s="11">
        <v>305530</v>
      </c>
      <c r="AL27" s="11">
        <v>305530</v>
      </c>
      <c r="AM27" s="1"/>
      <c r="AN27" s="1"/>
      <c r="AO27" s="11">
        <v>476610</v>
      </c>
      <c r="AP27" s="1"/>
      <c r="AQ27" s="1"/>
      <c r="AR27" s="16">
        <f t="shared" si="9"/>
        <v>0.97168854122344783</v>
      </c>
      <c r="AS27" s="11">
        <v>305530</v>
      </c>
      <c r="AT27" s="11">
        <v>296880</v>
      </c>
      <c r="AU27" s="1"/>
      <c r="AV27" s="16">
        <f t="shared" si="10"/>
        <v>1</v>
      </c>
      <c r="AW27" s="11">
        <v>72360</v>
      </c>
      <c r="AX27" s="11">
        <v>72360</v>
      </c>
      <c r="AY27" s="1"/>
      <c r="AZ27" s="16">
        <f t="shared" si="11"/>
        <v>1</v>
      </c>
      <c r="BA27" s="11">
        <v>89525</v>
      </c>
      <c r="BB27" s="11">
        <v>89525</v>
      </c>
      <c r="BC27" s="1"/>
    </row>
    <row r="28" spans="1:55" x14ac:dyDescent="0.35">
      <c r="A28" s="17">
        <v>44105</v>
      </c>
      <c r="B28" s="15">
        <v>0.877</v>
      </c>
      <c r="C28" s="14">
        <f>IF(F28="*",(E28/D28),(E28-F28)/D28)</f>
        <v>0.77041705779804215</v>
      </c>
      <c r="D28" s="1">
        <v>74570</v>
      </c>
      <c r="E28" s="1">
        <v>74205</v>
      </c>
      <c r="F28" s="1">
        <v>16755</v>
      </c>
      <c r="G28" s="14">
        <f t="shared" ref="G28:G38" si="15">IF(K28="*",(I28/H28),(I28-K28)/H28)</f>
        <v>0.99993294890706719</v>
      </c>
      <c r="H28" s="1">
        <v>74570</v>
      </c>
      <c r="I28" s="1">
        <v>74565</v>
      </c>
      <c r="J28" s="1">
        <v>3375</v>
      </c>
      <c r="K28" s="10" t="s">
        <v>41</v>
      </c>
      <c r="L28" s="16">
        <f t="shared" si="2"/>
        <v>1</v>
      </c>
      <c r="M28" s="1">
        <v>74570</v>
      </c>
      <c r="N28" s="1">
        <v>74570</v>
      </c>
      <c r="O28" s="1"/>
      <c r="P28" s="16">
        <f t="shared" si="3"/>
        <v>1</v>
      </c>
      <c r="Q28" s="1">
        <v>74570</v>
      </c>
      <c r="R28" s="1">
        <v>74570</v>
      </c>
      <c r="S28" s="1"/>
      <c r="T28" s="16">
        <f t="shared" si="4"/>
        <v>0.99993294890706719</v>
      </c>
      <c r="U28" s="1">
        <v>74570</v>
      </c>
      <c r="V28" s="1">
        <v>74570</v>
      </c>
      <c r="W28" s="1">
        <v>5</v>
      </c>
      <c r="X28" s="16">
        <f t="shared" si="14"/>
        <v>0.99644629207456081</v>
      </c>
      <c r="Y28" s="1">
        <v>74570</v>
      </c>
      <c r="Z28" s="1">
        <v>74305</v>
      </c>
      <c r="AA28" s="10" t="s">
        <v>41</v>
      </c>
      <c r="AB28" s="16">
        <f t="shared" si="6"/>
        <v>1</v>
      </c>
      <c r="AC28" s="1">
        <v>95110</v>
      </c>
      <c r="AD28" s="1">
        <v>95110</v>
      </c>
      <c r="AE28" s="1"/>
      <c r="AF28" s="16">
        <f t="shared" si="7"/>
        <v>0.65623091259338151</v>
      </c>
      <c r="AG28" s="1">
        <v>319255</v>
      </c>
      <c r="AH28" s="1">
        <v>209505</v>
      </c>
      <c r="AI28" s="1"/>
      <c r="AJ28" s="16">
        <f t="shared" si="8"/>
        <v>1</v>
      </c>
      <c r="AK28" s="1">
        <v>319255</v>
      </c>
      <c r="AL28" s="1">
        <v>319255</v>
      </c>
      <c r="AM28" s="1"/>
      <c r="AN28" s="1"/>
      <c r="AO28" s="1">
        <v>511520</v>
      </c>
      <c r="AP28" s="1"/>
      <c r="AQ28" s="1"/>
      <c r="AR28" s="16">
        <f t="shared" si="9"/>
        <v>0.97220090523249436</v>
      </c>
      <c r="AS28" s="1">
        <v>319255</v>
      </c>
      <c r="AT28" s="1">
        <v>310380</v>
      </c>
      <c r="AU28" s="1"/>
      <c r="AV28" s="16">
        <f t="shared" si="10"/>
        <v>1</v>
      </c>
      <c r="AW28" s="1">
        <v>74570</v>
      </c>
      <c r="AX28" s="1">
        <v>74570</v>
      </c>
      <c r="AY28" s="1"/>
      <c r="AZ28" s="16">
        <f t="shared" si="11"/>
        <v>1</v>
      </c>
      <c r="BA28" s="1">
        <v>95110</v>
      </c>
      <c r="BB28" s="1">
        <v>95110</v>
      </c>
      <c r="BC28" s="1"/>
    </row>
    <row r="29" spans="1:55" x14ac:dyDescent="0.35">
      <c r="A29" s="17">
        <v>44136</v>
      </c>
      <c r="B29" s="15">
        <v>0.88200000000000001</v>
      </c>
      <c r="C29" s="14">
        <f>IF(F29="*",(E29/D29),(E29-F29)/D29)</f>
        <v>0.76817085773337923</v>
      </c>
      <c r="D29" s="11">
        <v>72575</v>
      </c>
      <c r="E29" s="11">
        <v>72245</v>
      </c>
      <c r="F29" s="11">
        <v>16495</v>
      </c>
      <c r="G29" s="14">
        <f t="shared" si="15"/>
        <v>0.99993110575266964</v>
      </c>
      <c r="H29" s="11">
        <v>72575</v>
      </c>
      <c r="I29" s="11">
        <v>72570</v>
      </c>
      <c r="J29" s="11">
        <v>3390</v>
      </c>
      <c r="K29" s="10" t="s">
        <v>41</v>
      </c>
      <c r="L29" s="16">
        <f t="shared" si="2"/>
        <v>1</v>
      </c>
      <c r="M29" s="11">
        <v>72575</v>
      </c>
      <c r="N29" s="11">
        <v>72575</v>
      </c>
      <c r="O29" s="1"/>
      <c r="P29" s="16">
        <f t="shared" si="3"/>
        <v>1</v>
      </c>
      <c r="Q29" s="11">
        <v>72575</v>
      </c>
      <c r="R29" s="11">
        <v>72575</v>
      </c>
      <c r="S29" s="1"/>
      <c r="T29" s="16">
        <f t="shared" si="4"/>
        <v>0.99993110575266964</v>
      </c>
      <c r="U29" s="11">
        <v>72575</v>
      </c>
      <c r="V29" s="11">
        <v>72575</v>
      </c>
      <c r="W29" s="11">
        <v>5</v>
      </c>
      <c r="X29" s="16">
        <f t="shared" si="14"/>
        <v>0.99683086462280401</v>
      </c>
      <c r="Y29" s="11">
        <v>72575</v>
      </c>
      <c r="Z29" s="11">
        <v>72345</v>
      </c>
      <c r="AA29" s="10" t="s">
        <v>41</v>
      </c>
      <c r="AB29" s="16">
        <f t="shared" si="6"/>
        <v>1</v>
      </c>
      <c r="AC29" s="11">
        <v>89485</v>
      </c>
      <c r="AD29" s="11">
        <v>89485</v>
      </c>
      <c r="AE29" s="1"/>
      <c r="AF29" s="16">
        <f t="shared" si="7"/>
        <v>0.70974565160388081</v>
      </c>
      <c r="AG29" s="11">
        <v>286025</v>
      </c>
      <c r="AH29" s="11">
        <v>203005</v>
      </c>
      <c r="AI29" s="1"/>
      <c r="AJ29" s="16">
        <f t="shared" si="8"/>
        <v>1</v>
      </c>
      <c r="AK29" s="11">
        <v>286025</v>
      </c>
      <c r="AL29" s="11">
        <v>286025</v>
      </c>
      <c r="AM29" s="1"/>
      <c r="AN29" s="15">
        <f t="shared" ref="AN29:AN38" si="16">AP29/AO29</f>
        <v>1.9092540374263011E-2</v>
      </c>
      <c r="AO29" s="11">
        <v>487625</v>
      </c>
      <c r="AP29" s="11">
        <v>9310</v>
      </c>
      <c r="AQ29" s="1"/>
      <c r="AR29" s="16">
        <f t="shared" si="9"/>
        <v>0.96939078751857355</v>
      </c>
      <c r="AS29" s="11">
        <v>286025</v>
      </c>
      <c r="AT29" s="11">
        <v>277270</v>
      </c>
      <c r="AU29" s="1"/>
      <c r="AV29" s="16">
        <f t="shared" si="10"/>
        <v>1</v>
      </c>
      <c r="AW29" s="11">
        <v>72575</v>
      </c>
      <c r="AX29" s="11">
        <v>72575</v>
      </c>
      <c r="AY29" s="1"/>
      <c r="AZ29" s="16">
        <f t="shared" si="11"/>
        <v>1</v>
      </c>
      <c r="BA29" s="11">
        <v>89485</v>
      </c>
      <c r="BB29" s="11">
        <v>89485</v>
      </c>
      <c r="BC29" s="1"/>
    </row>
    <row r="30" spans="1:55" x14ac:dyDescent="0.35">
      <c r="A30" s="17">
        <v>44166</v>
      </c>
      <c r="B30" s="14">
        <v>0.88099999999999989</v>
      </c>
      <c r="C30" s="14">
        <f>IF(F30="*",(E30/D30),(E30-F30)/D30)</f>
        <v>0.78175685373905557</v>
      </c>
      <c r="D30" s="11">
        <v>69670</v>
      </c>
      <c r="E30" s="11">
        <v>69670</v>
      </c>
      <c r="F30" s="11">
        <v>15205</v>
      </c>
      <c r="G30" s="14">
        <f t="shared" si="15"/>
        <v>0.99992823309889478</v>
      </c>
      <c r="H30" s="11">
        <v>69670</v>
      </c>
      <c r="I30" s="11">
        <v>69665</v>
      </c>
      <c r="J30" s="11">
        <v>3675</v>
      </c>
      <c r="K30" s="10" t="s">
        <v>41</v>
      </c>
      <c r="L30" s="16">
        <f t="shared" si="2"/>
        <v>1</v>
      </c>
      <c r="M30" s="11">
        <v>69670</v>
      </c>
      <c r="N30" s="11">
        <v>69670</v>
      </c>
      <c r="O30" s="1"/>
      <c r="P30" s="16">
        <f t="shared" si="3"/>
        <v>1</v>
      </c>
      <c r="Q30" s="11">
        <v>69670</v>
      </c>
      <c r="R30" s="11">
        <v>69670</v>
      </c>
      <c r="S30" s="1"/>
      <c r="T30" s="16">
        <f t="shared" si="4"/>
        <v>1</v>
      </c>
      <c r="U30" s="11">
        <v>69670</v>
      </c>
      <c r="V30" s="11">
        <v>69670</v>
      </c>
      <c r="W30" s="10" t="s">
        <v>41</v>
      </c>
      <c r="X30" s="16">
        <f t="shared" si="14"/>
        <v>0.99684225635137069</v>
      </c>
      <c r="Y30" s="11">
        <v>69670</v>
      </c>
      <c r="Z30" s="11">
        <v>69450</v>
      </c>
      <c r="AA30" s="10" t="s">
        <v>41</v>
      </c>
      <c r="AB30" s="16">
        <f t="shared" si="6"/>
        <v>1</v>
      </c>
      <c r="AC30" s="11">
        <v>89795</v>
      </c>
      <c r="AD30" s="11">
        <v>89795</v>
      </c>
      <c r="AE30" s="1"/>
      <c r="AF30" s="16">
        <f t="shared" si="7"/>
        <v>0.69458705654545128</v>
      </c>
      <c r="AG30" s="11">
        <v>281455</v>
      </c>
      <c r="AH30" s="11">
        <v>195495</v>
      </c>
      <c r="AI30" s="1"/>
      <c r="AJ30" s="16">
        <f t="shared" si="8"/>
        <v>1</v>
      </c>
      <c r="AK30" s="11">
        <v>281455</v>
      </c>
      <c r="AL30" s="11">
        <v>281455</v>
      </c>
      <c r="AM30" s="1"/>
      <c r="AN30" s="15">
        <f t="shared" si="16"/>
        <v>1.920713312029319E-2</v>
      </c>
      <c r="AO30" s="11">
        <v>447490</v>
      </c>
      <c r="AP30" s="11">
        <v>8595</v>
      </c>
      <c r="AQ30" s="1"/>
      <c r="AR30" s="16">
        <f t="shared" si="9"/>
        <v>0.96290703664884258</v>
      </c>
      <c r="AS30" s="11">
        <v>281455</v>
      </c>
      <c r="AT30" s="11">
        <v>271015</v>
      </c>
      <c r="AU30" s="1"/>
      <c r="AV30" s="16">
        <f t="shared" si="10"/>
        <v>1</v>
      </c>
      <c r="AW30" s="11">
        <v>69670</v>
      </c>
      <c r="AX30" s="11">
        <v>69670</v>
      </c>
      <c r="AY30" s="1"/>
      <c r="AZ30" s="16">
        <f t="shared" si="11"/>
        <v>1</v>
      </c>
      <c r="BA30" s="11">
        <v>85795</v>
      </c>
      <c r="BB30" s="11">
        <v>85795</v>
      </c>
      <c r="BC30" s="1"/>
    </row>
    <row r="31" spans="1:55" x14ac:dyDescent="0.35">
      <c r="A31" s="17">
        <v>44197</v>
      </c>
      <c r="B31" s="14">
        <v>0.89</v>
      </c>
      <c r="C31" s="14">
        <f>IF(F31="*",(E31/D31),(E31-F31)/D31)</f>
        <v>0.78594322344322343</v>
      </c>
      <c r="D31" s="11">
        <v>65520</v>
      </c>
      <c r="E31" s="11">
        <v>65520</v>
      </c>
      <c r="F31" s="11">
        <v>14025</v>
      </c>
      <c r="G31" s="14">
        <f t="shared" si="15"/>
        <v>0.99992368742368742</v>
      </c>
      <c r="H31" s="11">
        <v>65520</v>
      </c>
      <c r="I31" s="11">
        <v>65515</v>
      </c>
      <c r="J31" s="11">
        <v>3185</v>
      </c>
      <c r="K31" s="10" t="s">
        <v>41</v>
      </c>
      <c r="L31" s="16">
        <f t="shared" si="2"/>
        <v>1</v>
      </c>
      <c r="M31" s="11">
        <v>65520</v>
      </c>
      <c r="N31" s="11">
        <v>65520</v>
      </c>
      <c r="O31" s="1"/>
      <c r="P31" s="16">
        <f t="shared" si="3"/>
        <v>1</v>
      </c>
      <c r="Q31" s="11">
        <v>65520</v>
      </c>
      <c r="R31" s="11">
        <v>65520</v>
      </c>
      <c r="S31" s="1"/>
      <c r="T31" s="16">
        <f t="shared" si="4"/>
        <v>0.99992368742368742</v>
      </c>
      <c r="U31" s="11">
        <v>65520</v>
      </c>
      <c r="V31" s="11">
        <v>65520</v>
      </c>
      <c r="W31" s="11">
        <v>5</v>
      </c>
      <c r="X31" s="16">
        <f t="shared" si="14"/>
        <v>0.99664224664224665</v>
      </c>
      <c r="Y31" s="11">
        <v>65520</v>
      </c>
      <c r="Z31" s="11">
        <v>65300</v>
      </c>
      <c r="AA31" s="10" t="s">
        <v>41</v>
      </c>
      <c r="AB31" s="16">
        <f t="shared" si="6"/>
        <v>1</v>
      </c>
      <c r="AC31" s="11">
        <v>80675</v>
      </c>
      <c r="AD31" s="11">
        <v>80675</v>
      </c>
      <c r="AE31" s="1"/>
      <c r="AF31" s="16">
        <f t="shared" si="7"/>
        <v>0.80625875758991128</v>
      </c>
      <c r="AG31" s="11">
        <v>267625</v>
      </c>
      <c r="AH31" s="11">
        <v>215775</v>
      </c>
      <c r="AI31" s="1"/>
      <c r="AJ31" s="16">
        <f t="shared" si="8"/>
        <v>1</v>
      </c>
      <c r="AK31" s="11">
        <v>267625</v>
      </c>
      <c r="AL31" s="11">
        <v>267625</v>
      </c>
      <c r="AM31" s="1"/>
      <c r="AN31" s="15">
        <f t="shared" si="16"/>
        <v>2.075442726993551E-2</v>
      </c>
      <c r="AO31" s="11">
        <v>390760</v>
      </c>
      <c r="AP31" s="11">
        <v>8110</v>
      </c>
      <c r="AQ31" s="1"/>
      <c r="AR31" s="16">
        <f t="shared" si="9"/>
        <v>0.96199906585707617</v>
      </c>
      <c r="AS31" s="11">
        <v>267625</v>
      </c>
      <c r="AT31" s="11">
        <v>257455</v>
      </c>
      <c r="AU31" s="1"/>
      <c r="AV31" s="16">
        <f t="shared" si="10"/>
        <v>1</v>
      </c>
      <c r="AW31" s="11">
        <v>65520</v>
      </c>
      <c r="AX31" s="11">
        <v>65520</v>
      </c>
      <c r="AY31" s="1"/>
      <c r="AZ31" s="16">
        <f t="shared" si="11"/>
        <v>1</v>
      </c>
      <c r="BA31" s="11">
        <v>80675</v>
      </c>
      <c r="BB31" s="11">
        <v>80675</v>
      </c>
      <c r="BC31" s="1"/>
    </row>
    <row r="32" spans="1:55" x14ac:dyDescent="0.35">
      <c r="A32" s="17">
        <v>44228</v>
      </c>
      <c r="B32" s="14">
        <v>0.90700000000000003</v>
      </c>
      <c r="C32" s="35">
        <f t="shared" ref="C32:C38" si="17">IF(F32="*",(E32/D32),(E32-F32)/D32)</f>
        <v>1</v>
      </c>
      <c r="D32" s="11">
        <v>60945</v>
      </c>
      <c r="E32" s="11">
        <v>60945</v>
      </c>
      <c r="F32" s="10" t="s">
        <v>41</v>
      </c>
      <c r="G32" s="14">
        <f t="shared" si="15"/>
        <v>1</v>
      </c>
      <c r="H32" s="11">
        <v>60945</v>
      </c>
      <c r="I32" s="11">
        <v>60945</v>
      </c>
      <c r="J32" s="11">
        <v>3975</v>
      </c>
      <c r="K32" s="10" t="s">
        <v>41</v>
      </c>
      <c r="L32" s="16">
        <f t="shared" si="2"/>
        <v>1</v>
      </c>
      <c r="M32" s="11">
        <v>60945</v>
      </c>
      <c r="N32" s="11">
        <v>60945</v>
      </c>
      <c r="O32" s="1"/>
      <c r="P32" s="16">
        <f t="shared" si="3"/>
        <v>1</v>
      </c>
      <c r="Q32" s="11">
        <v>60945</v>
      </c>
      <c r="R32" s="11">
        <v>60945</v>
      </c>
      <c r="S32" s="1"/>
      <c r="T32" s="16">
        <f t="shared" si="4"/>
        <v>1</v>
      </c>
      <c r="U32" s="11">
        <v>60945</v>
      </c>
      <c r="V32" s="11">
        <v>60945</v>
      </c>
      <c r="W32" s="10" t="s">
        <v>41</v>
      </c>
      <c r="X32" s="16">
        <f t="shared" si="14"/>
        <v>0.99614406432028879</v>
      </c>
      <c r="Y32" s="11">
        <v>60945</v>
      </c>
      <c r="Z32" s="11">
        <v>60710</v>
      </c>
      <c r="AA32" s="10" t="s">
        <v>41</v>
      </c>
      <c r="AB32" s="16">
        <f t="shared" si="6"/>
        <v>1</v>
      </c>
      <c r="AC32" s="11">
        <v>75420</v>
      </c>
      <c r="AD32" s="11">
        <v>75420</v>
      </c>
      <c r="AE32" s="1"/>
      <c r="AF32" s="16">
        <f t="shared" si="7"/>
        <v>0.81419632617749427</v>
      </c>
      <c r="AG32" s="11">
        <v>248515</v>
      </c>
      <c r="AH32" s="11">
        <v>202340</v>
      </c>
      <c r="AI32" s="1"/>
      <c r="AJ32" s="16">
        <f t="shared" si="8"/>
        <v>1</v>
      </c>
      <c r="AK32" s="11">
        <v>248515</v>
      </c>
      <c r="AL32" s="11">
        <v>248515</v>
      </c>
      <c r="AM32" s="1"/>
      <c r="AN32" s="15">
        <f t="shared" si="16"/>
        <v>2.1330671989354625E-2</v>
      </c>
      <c r="AO32" s="11">
        <v>375750</v>
      </c>
      <c r="AP32" s="11">
        <v>8015</v>
      </c>
      <c r="AQ32" s="1"/>
      <c r="AR32" s="16">
        <f t="shared" si="9"/>
        <v>0.9639659577892683</v>
      </c>
      <c r="AS32" s="11">
        <v>248515</v>
      </c>
      <c r="AT32" s="11">
        <v>239560</v>
      </c>
      <c r="AU32" s="1"/>
      <c r="AV32" s="16">
        <f t="shared" si="10"/>
        <v>1</v>
      </c>
      <c r="AW32" s="11">
        <v>60945</v>
      </c>
      <c r="AX32" s="11">
        <v>60945</v>
      </c>
      <c r="AY32" s="1"/>
      <c r="AZ32" s="16">
        <f t="shared" si="11"/>
        <v>1</v>
      </c>
      <c r="BA32" s="11">
        <v>75420</v>
      </c>
      <c r="BB32" s="11">
        <v>75420</v>
      </c>
      <c r="BC32" s="1"/>
    </row>
    <row r="33" spans="1:55" x14ac:dyDescent="0.35">
      <c r="A33" s="17">
        <v>44256</v>
      </c>
      <c r="B33" s="14">
        <v>0.89800000000000002</v>
      </c>
      <c r="C33" s="14">
        <f t="shared" si="17"/>
        <v>0.82870270658338718</v>
      </c>
      <c r="D33" s="11">
        <v>69645</v>
      </c>
      <c r="E33" s="11">
        <v>69645</v>
      </c>
      <c r="F33" s="11">
        <v>11930</v>
      </c>
      <c r="G33" s="14">
        <f t="shared" si="15"/>
        <v>1</v>
      </c>
      <c r="H33" s="11">
        <v>69645</v>
      </c>
      <c r="I33" s="11">
        <v>69645</v>
      </c>
      <c r="J33" s="11">
        <v>4115</v>
      </c>
      <c r="K33" s="10" t="s">
        <v>41</v>
      </c>
      <c r="L33" s="16">
        <f t="shared" si="2"/>
        <v>1</v>
      </c>
      <c r="M33" s="1">
        <v>69645</v>
      </c>
      <c r="N33" s="1">
        <v>69645</v>
      </c>
      <c r="O33" s="1"/>
      <c r="P33" s="16">
        <f t="shared" si="3"/>
        <v>1</v>
      </c>
      <c r="Q33" s="1">
        <v>69645</v>
      </c>
      <c r="R33" s="1">
        <v>69645</v>
      </c>
      <c r="S33" s="1"/>
      <c r="T33" s="16">
        <f t="shared" si="4"/>
        <v>0.99992820733721011</v>
      </c>
      <c r="U33" s="1">
        <v>69645</v>
      </c>
      <c r="V33" s="1">
        <v>69645</v>
      </c>
      <c r="W33" s="1">
        <v>5</v>
      </c>
      <c r="X33" s="16">
        <f t="shared" si="14"/>
        <v>0.99662574484887645</v>
      </c>
      <c r="Y33" s="1">
        <v>69645</v>
      </c>
      <c r="Z33" s="1">
        <v>69410</v>
      </c>
      <c r="AA33" s="10" t="s">
        <v>41</v>
      </c>
      <c r="AB33" s="16">
        <f t="shared" si="6"/>
        <v>1</v>
      </c>
      <c r="AC33" s="1">
        <v>86750</v>
      </c>
      <c r="AD33" s="1">
        <v>86750</v>
      </c>
      <c r="AE33" s="1"/>
      <c r="AF33" s="16">
        <f t="shared" si="7"/>
        <v>0.81624655612026631</v>
      </c>
      <c r="AG33" s="1">
        <v>292185</v>
      </c>
      <c r="AH33" s="1">
        <v>238495</v>
      </c>
      <c r="AI33" s="1"/>
      <c r="AJ33" s="16">
        <f t="shared" si="8"/>
        <v>1</v>
      </c>
      <c r="AK33" s="1">
        <v>292185</v>
      </c>
      <c r="AL33" s="1">
        <v>292185</v>
      </c>
      <c r="AM33" s="1"/>
      <c r="AN33" s="15">
        <f t="shared" si="16"/>
        <v>7.379851653282142E-2</v>
      </c>
      <c r="AO33" s="1">
        <v>440185</v>
      </c>
      <c r="AP33" s="1">
        <v>32485</v>
      </c>
      <c r="AQ33" s="1"/>
      <c r="AR33" s="16">
        <f t="shared" si="9"/>
        <v>0.9610520731728186</v>
      </c>
      <c r="AS33" s="1">
        <v>292185</v>
      </c>
      <c r="AT33" s="1">
        <v>280805</v>
      </c>
      <c r="AU33" s="1"/>
      <c r="AV33" s="16">
        <f t="shared" si="10"/>
        <v>1</v>
      </c>
      <c r="AW33" s="1">
        <v>69645</v>
      </c>
      <c r="AX33" s="1">
        <v>69645</v>
      </c>
      <c r="AY33" s="1"/>
      <c r="AZ33" s="16">
        <f t="shared" si="11"/>
        <v>1</v>
      </c>
      <c r="BA33" s="1">
        <v>86750</v>
      </c>
      <c r="BB33" s="1">
        <v>86750</v>
      </c>
      <c r="BC33" s="1"/>
    </row>
    <row r="34" spans="1:55" s="21" customFormat="1" x14ac:dyDescent="0.35">
      <c r="A34" s="17">
        <v>44287</v>
      </c>
      <c r="B34" s="14">
        <v>0.89800000000000002</v>
      </c>
      <c r="C34" s="14">
        <f t="shared" si="17"/>
        <v>0.82038070702733645</v>
      </c>
      <c r="D34" s="11">
        <v>69870</v>
      </c>
      <c r="E34" s="11">
        <v>69870</v>
      </c>
      <c r="F34" s="11">
        <v>12550</v>
      </c>
      <c r="G34" s="14">
        <f t="shared" si="15"/>
        <v>0.99978531558608841</v>
      </c>
      <c r="H34" s="11">
        <v>69870</v>
      </c>
      <c r="I34" s="11">
        <v>69855</v>
      </c>
      <c r="J34" s="11">
        <v>3220</v>
      </c>
      <c r="K34" s="10" t="s">
        <v>41</v>
      </c>
      <c r="L34" s="16">
        <f t="shared" si="2"/>
        <v>1</v>
      </c>
      <c r="M34" s="1">
        <v>69870</v>
      </c>
      <c r="N34" s="1">
        <v>69870</v>
      </c>
      <c r="O34" s="1"/>
      <c r="P34" s="16">
        <f t="shared" si="3"/>
        <v>1</v>
      </c>
      <c r="Q34" s="1">
        <v>69870</v>
      </c>
      <c r="R34" s="1">
        <v>69870</v>
      </c>
      <c r="S34" s="1"/>
      <c r="T34" s="16">
        <f t="shared" si="4"/>
        <v>0.99992843852869617</v>
      </c>
      <c r="U34" s="1">
        <v>69870</v>
      </c>
      <c r="V34" s="1">
        <v>69870</v>
      </c>
      <c r="W34" s="1">
        <v>5</v>
      </c>
      <c r="X34" s="16">
        <f t="shared" si="14"/>
        <v>0.99670817232002284</v>
      </c>
      <c r="Y34" s="1">
        <v>69870</v>
      </c>
      <c r="Z34" s="1">
        <v>69640</v>
      </c>
      <c r="AA34" s="10" t="s">
        <v>41</v>
      </c>
      <c r="AB34" s="16">
        <f t="shared" si="6"/>
        <v>1</v>
      </c>
      <c r="AC34" s="1">
        <v>86065</v>
      </c>
      <c r="AD34" s="1">
        <v>86065</v>
      </c>
      <c r="AE34" s="1"/>
      <c r="AF34" s="16">
        <f t="shared" si="7"/>
        <v>0.81675335934113569</v>
      </c>
      <c r="AG34" s="1">
        <v>276840</v>
      </c>
      <c r="AH34" s="1">
        <v>226110</v>
      </c>
      <c r="AI34" s="1"/>
      <c r="AJ34" s="16">
        <f t="shared" si="8"/>
        <v>1</v>
      </c>
      <c r="AK34" s="1">
        <v>276840</v>
      </c>
      <c r="AL34" s="1">
        <v>276840</v>
      </c>
      <c r="AM34" s="1"/>
      <c r="AN34" s="15">
        <f t="shared" si="16"/>
        <v>7.9258539033340653E-2</v>
      </c>
      <c r="AO34" s="1">
        <v>478245</v>
      </c>
      <c r="AP34" s="1">
        <v>37905</v>
      </c>
      <c r="AQ34" s="1"/>
      <c r="AR34" s="16">
        <f t="shared" si="9"/>
        <v>0.96275827192602226</v>
      </c>
      <c r="AS34" s="1">
        <v>276840</v>
      </c>
      <c r="AT34" s="1">
        <v>266530</v>
      </c>
      <c r="AU34" s="1"/>
      <c r="AV34" s="16">
        <f t="shared" si="10"/>
        <v>1</v>
      </c>
      <c r="AW34" s="1">
        <v>69870</v>
      </c>
      <c r="AX34" s="1">
        <v>69870</v>
      </c>
      <c r="AY34" s="1"/>
      <c r="AZ34" s="16">
        <f t="shared" si="11"/>
        <v>1</v>
      </c>
      <c r="BA34" s="1">
        <v>86065</v>
      </c>
      <c r="BB34" s="1">
        <v>86065</v>
      </c>
      <c r="BC34" s="1"/>
    </row>
    <row r="35" spans="1:55" x14ac:dyDescent="0.35">
      <c r="A35" s="17">
        <v>44317</v>
      </c>
      <c r="B35" s="14">
        <v>0.91400000000000003</v>
      </c>
      <c r="C35" s="14">
        <f t="shared" si="17"/>
        <v>0.83836267113718921</v>
      </c>
      <c r="D35" s="11">
        <v>71580</v>
      </c>
      <c r="E35" s="11">
        <v>71580</v>
      </c>
      <c r="F35" s="11">
        <v>11570</v>
      </c>
      <c r="G35" s="14">
        <f t="shared" si="15"/>
        <v>0.99986029617211514</v>
      </c>
      <c r="H35" s="11">
        <v>71580</v>
      </c>
      <c r="I35" s="11">
        <v>71570</v>
      </c>
      <c r="J35" s="11">
        <v>3740</v>
      </c>
      <c r="K35" s="10" t="s">
        <v>41</v>
      </c>
      <c r="L35" s="16">
        <f t="shared" si="2"/>
        <v>1</v>
      </c>
      <c r="M35" s="11">
        <v>71580</v>
      </c>
      <c r="N35" s="11">
        <v>71580</v>
      </c>
      <c r="O35" s="1"/>
      <c r="P35" s="16">
        <f t="shared" si="3"/>
        <v>1</v>
      </c>
      <c r="Q35" s="11">
        <v>71580</v>
      </c>
      <c r="R35" s="11">
        <v>71580</v>
      </c>
      <c r="S35" s="1"/>
      <c r="T35" s="16">
        <f t="shared" si="4"/>
        <v>0.99993014808605751</v>
      </c>
      <c r="U35" s="11">
        <v>71580</v>
      </c>
      <c r="V35" s="11">
        <v>71580</v>
      </c>
      <c r="W35" s="11">
        <v>5</v>
      </c>
      <c r="X35" s="16">
        <f t="shared" si="14"/>
        <v>0.99622799664710815</v>
      </c>
      <c r="Y35" s="11">
        <v>71580</v>
      </c>
      <c r="Z35" s="11">
        <v>71310</v>
      </c>
      <c r="AA35" s="10" t="s">
        <v>41</v>
      </c>
      <c r="AB35" s="16">
        <f t="shared" si="6"/>
        <v>1</v>
      </c>
      <c r="AC35" s="11">
        <v>87480</v>
      </c>
      <c r="AD35" s="11">
        <v>87480</v>
      </c>
      <c r="AE35" s="1"/>
      <c r="AF35" s="16">
        <f t="shared" si="7"/>
        <v>0.78520739452861654</v>
      </c>
      <c r="AG35" s="11">
        <v>281830</v>
      </c>
      <c r="AH35" s="11">
        <v>221295</v>
      </c>
      <c r="AI35" s="1"/>
      <c r="AJ35" s="16">
        <f t="shared" si="8"/>
        <v>1</v>
      </c>
      <c r="AK35" s="11">
        <v>281830</v>
      </c>
      <c r="AL35" s="11">
        <v>281830</v>
      </c>
      <c r="AM35" s="1"/>
      <c r="AN35" s="14">
        <f t="shared" si="16"/>
        <v>0.28956953456835782</v>
      </c>
      <c r="AO35" s="11">
        <v>446145</v>
      </c>
      <c r="AP35" s="11">
        <v>129190</v>
      </c>
      <c r="AQ35" s="1"/>
      <c r="AR35" s="16">
        <f t="shared" si="9"/>
        <v>0.96721427811091798</v>
      </c>
      <c r="AS35" s="11">
        <v>281830</v>
      </c>
      <c r="AT35" s="11">
        <v>272590</v>
      </c>
      <c r="AU35" s="1"/>
      <c r="AV35" s="16">
        <f t="shared" si="10"/>
        <v>1</v>
      </c>
      <c r="AW35" s="11">
        <v>71580</v>
      </c>
      <c r="AX35" s="11">
        <v>71580</v>
      </c>
      <c r="AY35" s="1"/>
      <c r="AZ35" s="16">
        <f t="shared" si="11"/>
        <v>1</v>
      </c>
      <c r="BA35" s="11">
        <v>87480</v>
      </c>
      <c r="BB35" s="11">
        <v>87480</v>
      </c>
      <c r="BC35" s="1"/>
    </row>
    <row r="36" spans="1:55" x14ac:dyDescent="0.35">
      <c r="A36" s="17">
        <v>44348</v>
      </c>
      <c r="B36" s="14">
        <v>0.91500000000000004</v>
      </c>
      <c r="C36" s="14">
        <f t="shared" si="17"/>
        <v>0.84177175083961731</v>
      </c>
      <c r="D36" s="11">
        <v>78905</v>
      </c>
      <c r="E36" s="11">
        <v>78905</v>
      </c>
      <c r="F36" s="11">
        <v>12485</v>
      </c>
      <c r="G36" s="14">
        <f t="shared" si="15"/>
        <v>0.99987326531905452</v>
      </c>
      <c r="H36" s="11">
        <v>78905</v>
      </c>
      <c r="I36" s="11">
        <v>78895</v>
      </c>
      <c r="J36" s="11">
        <v>4345</v>
      </c>
      <c r="K36" s="10" t="s">
        <v>41</v>
      </c>
      <c r="L36" s="16">
        <f t="shared" si="2"/>
        <v>1</v>
      </c>
      <c r="M36" s="11">
        <v>78905</v>
      </c>
      <c r="N36" s="11">
        <v>78905</v>
      </c>
      <c r="O36" s="1"/>
      <c r="P36" s="16">
        <f t="shared" si="3"/>
        <v>1</v>
      </c>
      <c r="Q36" s="11">
        <v>78905</v>
      </c>
      <c r="R36" s="11">
        <v>78905</v>
      </c>
      <c r="S36" s="1"/>
      <c r="T36" s="16">
        <f t="shared" si="4"/>
        <v>0.99987326531905452</v>
      </c>
      <c r="U36" s="11">
        <v>78905</v>
      </c>
      <c r="V36" s="11">
        <v>78905</v>
      </c>
      <c r="W36" s="11">
        <v>10</v>
      </c>
      <c r="X36" s="16">
        <f t="shared" si="14"/>
        <v>0.99651479627400041</v>
      </c>
      <c r="Y36" s="11">
        <v>78905</v>
      </c>
      <c r="Z36" s="11">
        <v>78630</v>
      </c>
      <c r="AA36" s="10" t="s">
        <v>41</v>
      </c>
      <c r="AB36" s="16">
        <f t="shared" si="6"/>
        <v>1</v>
      </c>
      <c r="AC36" s="11">
        <v>96845</v>
      </c>
      <c r="AD36" s="11">
        <v>96845</v>
      </c>
      <c r="AE36" s="1"/>
      <c r="AF36" s="16">
        <f t="shared" si="7"/>
        <v>0.76064133753489971</v>
      </c>
      <c r="AG36" s="11">
        <v>306235</v>
      </c>
      <c r="AH36" s="11">
        <v>232935</v>
      </c>
      <c r="AI36" s="1"/>
      <c r="AJ36" s="16">
        <f t="shared" si="8"/>
        <v>1</v>
      </c>
      <c r="AK36" s="11">
        <v>306235</v>
      </c>
      <c r="AL36" s="11">
        <v>306235</v>
      </c>
      <c r="AM36" s="1"/>
      <c r="AN36" s="14">
        <f t="shared" si="16"/>
        <v>0.30766713602919304</v>
      </c>
      <c r="AO36" s="11">
        <v>504230</v>
      </c>
      <c r="AP36" s="11">
        <v>155135</v>
      </c>
      <c r="AQ36" s="1"/>
      <c r="AR36" s="16">
        <f t="shared" si="9"/>
        <v>0.98666057113001449</v>
      </c>
      <c r="AS36" s="11">
        <v>306235</v>
      </c>
      <c r="AT36" s="11">
        <v>302150</v>
      </c>
      <c r="AU36" s="1"/>
      <c r="AV36" s="16">
        <f t="shared" si="10"/>
        <v>1</v>
      </c>
      <c r="AW36" s="11">
        <v>78905</v>
      </c>
      <c r="AX36" s="11">
        <v>78905</v>
      </c>
      <c r="AY36" s="1"/>
      <c r="AZ36" s="16">
        <f t="shared" si="11"/>
        <v>1</v>
      </c>
      <c r="BA36" s="11">
        <v>96845</v>
      </c>
      <c r="BB36" s="11">
        <v>96845</v>
      </c>
      <c r="BC36" s="1"/>
    </row>
    <row r="37" spans="1:55" x14ac:dyDescent="0.35">
      <c r="A37" s="17">
        <v>44378</v>
      </c>
      <c r="B37" s="14">
        <v>0.91500000000000004</v>
      </c>
      <c r="C37" s="14">
        <f t="shared" si="17"/>
        <v>0.8409633757961783</v>
      </c>
      <c r="D37" s="11">
        <v>75360</v>
      </c>
      <c r="E37" s="11">
        <v>75360</v>
      </c>
      <c r="F37" s="11">
        <v>11985</v>
      </c>
      <c r="G37" s="14">
        <f t="shared" si="15"/>
        <v>1</v>
      </c>
      <c r="H37" s="11">
        <v>75360</v>
      </c>
      <c r="I37" s="11">
        <v>75360</v>
      </c>
      <c r="J37" s="11">
        <v>11985</v>
      </c>
      <c r="K37" s="10" t="s">
        <v>41</v>
      </c>
      <c r="L37" s="16">
        <f t="shared" si="2"/>
        <v>1</v>
      </c>
      <c r="M37" s="11">
        <v>75360</v>
      </c>
      <c r="N37" s="11">
        <v>75360</v>
      </c>
      <c r="O37" s="1"/>
      <c r="P37" s="16">
        <f t="shared" si="3"/>
        <v>1</v>
      </c>
      <c r="Q37" s="11">
        <v>75360</v>
      </c>
      <c r="R37" s="11">
        <v>75360</v>
      </c>
      <c r="S37" s="1"/>
      <c r="T37" s="16">
        <f t="shared" si="4"/>
        <v>0.99993365180467086</v>
      </c>
      <c r="U37" s="11">
        <v>75360</v>
      </c>
      <c r="V37" s="11">
        <v>75360</v>
      </c>
      <c r="W37" s="11">
        <v>5</v>
      </c>
      <c r="X37" s="16">
        <f t="shared" si="14"/>
        <v>0.99668259023354566</v>
      </c>
      <c r="Y37" s="11">
        <v>75360</v>
      </c>
      <c r="Z37" s="11">
        <v>75110</v>
      </c>
      <c r="AA37" s="10" t="s">
        <v>41</v>
      </c>
      <c r="AB37" s="16">
        <f t="shared" si="6"/>
        <v>1</v>
      </c>
      <c r="AC37" s="11">
        <v>92320</v>
      </c>
      <c r="AD37" s="11">
        <v>92320</v>
      </c>
      <c r="AE37" s="1"/>
      <c r="AF37" s="16">
        <f t="shared" si="7"/>
        <v>0.75548656993924101</v>
      </c>
      <c r="AG37" s="11">
        <v>301190</v>
      </c>
      <c r="AH37" s="11">
        <v>227545</v>
      </c>
      <c r="AI37" s="1"/>
      <c r="AJ37" s="16">
        <f t="shared" si="8"/>
        <v>1</v>
      </c>
      <c r="AK37" s="11">
        <v>301190</v>
      </c>
      <c r="AL37" s="11">
        <v>301190</v>
      </c>
      <c r="AM37" s="1"/>
      <c r="AN37" s="14">
        <f t="shared" si="16"/>
        <v>0.31558391378356082</v>
      </c>
      <c r="AO37" s="11">
        <v>478795</v>
      </c>
      <c r="AP37" s="11">
        <v>151100</v>
      </c>
      <c r="AQ37" s="1"/>
      <c r="AR37" s="16">
        <f t="shared" si="9"/>
        <v>0.98200471463195993</v>
      </c>
      <c r="AS37" s="11">
        <v>301190</v>
      </c>
      <c r="AT37" s="11">
        <v>295770</v>
      </c>
      <c r="AU37" s="1"/>
      <c r="AV37" s="16">
        <f t="shared" si="10"/>
        <v>1</v>
      </c>
      <c r="AW37" s="11">
        <v>75360</v>
      </c>
      <c r="AX37" s="11">
        <v>75360</v>
      </c>
      <c r="AY37" s="1"/>
      <c r="AZ37" s="16">
        <f t="shared" si="11"/>
        <v>1</v>
      </c>
      <c r="BA37" s="11">
        <v>92320</v>
      </c>
      <c r="BB37" s="11">
        <v>92320</v>
      </c>
      <c r="BC37" s="1"/>
    </row>
    <row r="38" spans="1:55" x14ac:dyDescent="0.35">
      <c r="A38" s="17">
        <v>44409</v>
      </c>
      <c r="B38" s="14">
        <v>0.91500000000000004</v>
      </c>
      <c r="C38" s="14">
        <f t="shared" si="17"/>
        <v>0.84478903714388753</v>
      </c>
      <c r="D38" s="11">
        <v>69325</v>
      </c>
      <c r="E38" s="11">
        <v>69325</v>
      </c>
      <c r="F38" s="11">
        <v>10760</v>
      </c>
      <c r="G38" s="14">
        <f t="shared" si="15"/>
        <v>0.99992787594662824</v>
      </c>
      <c r="H38" s="11">
        <v>69325</v>
      </c>
      <c r="I38" s="11">
        <v>69320</v>
      </c>
      <c r="J38" s="11">
        <v>3240</v>
      </c>
      <c r="K38" s="10" t="s">
        <v>41</v>
      </c>
      <c r="L38" s="16">
        <f t="shared" si="2"/>
        <v>1</v>
      </c>
      <c r="M38" s="11">
        <v>69325</v>
      </c>
      <c r="N38" s="11">
        <v>69325</v>
      </c>
      <c r="O38" s="1"/>
      <c r="P38" s="16">
        <f t="shared" si="3"/>
        <v>1</v>
      </c>
      <c r="Q38" s="11">
        <v>69325</v>
      </c>
      <c r="R38" s="11">
        <v>69325</v>
      </c>
      <c r="S38" s="1"/>
      <c r="T38" s="16">
        <f t="shared" si="4"/>
        <v>0.99992787594662824</v>
      </c>
      <c r="U38" s="11">
        <v>69325</v>
      </c>
      <c r="V38" s="11">
        <v>69325</v>
      </c>
      <c r="W38" s="11">
        <v>5</v>
      </c>
      <c r="X38" s="16">
        <f t="shared" si="14"/>
        <v>0.99639379733140998</v>
      </c>
      <c r="Y38" s="11">
        <v>69325</v>
      </c>
      <c r="Z38" s="11">
        <v>69075</v>
      </c>
      <c r="AA38" s="10" t="s">
        <v>41</v>
      </c>
      <c r="AB38" s="16">
        <f t="shared" si="6"/>
        <v>1</v>
      </c>
      <c r="AC38" s="11">
        <v>85015</v>
      </c>
      <c r="AD38" s="11">
        <v>85015</v>
      </c>
      <c r="AE38" s="1"/>
      <c r="AF38" s="16">
        <f t="shared" si="7"/>
        <v>0.76155536651070466</v>
      </c>
      <c r="AG38" s="11">
        <v>282120</v>
      </c>
      <c r="AH38" s="11">
        <v>214850</v>
      </c>
      <c r="AI38" s="1"/>
      <c r="AJ38" s="16">
        <f t="shared" si="8"/>
        <v>1</v>
      </c>
      <c r="AK38" s="11">
        <v>282120</v>
      </c>
      <c r="AL38" s="11">
        <v>282120</v>
      </c>
      <c r="AM38" s="1"/>
      <c r="AN38" s="14">
        <f t="shared" si="16"/>
        <v>0.3173302359596481</v>
      </c>
      <c r="AO38" s="11">
        <v>464910</v>
      </c>
      <c r="AP38" s="11">
        <v>147530</v>
      </c>
      <c r="AQ38" s="1"/>
      <c r="AR38" s="16">
        <f t="shared" si="9"/>
        <v>0.97653480788317026</v>
      </c>
      <c r="AS38" s="11">
        <v>282120</v>
      </c>
      <c r="AT38" s="11">
        <v>275500</v>
      </c>
      <c r="AU38" s="1"/>
      <c r="AV38" s="16">
        <f t="shared" si="10"/>
        <v>1</v>
      </c>
      <c r="AW38" s="11">
        <v>69325</v>
      </c>
      <c r="AX38" s="11">
        <v>69325</v>
      </c>
      <c r="AY38" s="1"/>
      <c r="AZ38" s="16">
        <f t="shared" si="11"/>
        <v>1</v>
      </c>
      <c r="BA38" s="11">
        <v>85015</v>
      </c>
      <c r="BB38" s="11">
        <v>85015</v>
      </c>
      <c r="BC38" s="1"/>
    </row>
  </sheetData>
  <sortState xmlns:xlrd2="http://schemas.microsoft.com/office/spreadsheetml/2017/richdata2" ref="A3:BC25">
    <sortCondition ref="A3"/>
  </sortState>
  <mergeCells count="13">
    <mergeCell ref="AZ1:BC1"/>
    <mergeCell ref="AB1:AE1"/>
    <mergeCell ref="AF1:AI1"/>
    <mergeCell ref="AJ1:AM1"/>
    <mergeCell ref="AN1:AQ1"/>
    <mergeCell ref="AR1:AU1"/>
    <mergeCell ref="AV1:AY1"/>
    <mergeCell ref="X1:AA1"/>
    <mergeCell ref="C1:F1"/>
    <mergeCell ref="G1:K1"/>
    <mergeCell ref="L1:O1"/>
    <mergeCell ref="P1:S1"/>
    <mergeCell ref="T1:W1"/>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5"/>
  <sheetViews>
    <sheetView workbookViewId="0">
      <selection activeCell="D9" sqref="D9"/>
    </sheetView>
  </sheetViews>
  <sheetFormatPr defaultRowHeight="15" customHeight="1" x14ac:dyDescent="0.35"/>
  <cols>
    <col min="2" max="2" width="27.6328125" style="6" customWidth="1"/>
    <col min="3" max="3" width="50.08984375" style="6" hidden="1" customWidth="1"/>
    <col min="4" max="4" width="68.7265625" style="7" customWidth="1"/>
  </cols>
  <sheetData>
    <row r="3" spans="2:4" ht="29" x14ac:dyDescent="0.35">
      <c r="B3" s="6" t="s">
        <v>4</v>
      </c>
      <c r="C3" s="6" t="s">
        <v>21</v>
      </c>
      <c r="D3" s="8" t="s">
        <v>34</v>
      </c>
    </row>
    <row r="4" spans="2:4" ht="43.5" x14ac:dyDescent="0.35">
      <c r="B4" s="6" t="s">
        <v>5</v>
      </c>
      <c r="C4" s="6" t="s">
        <v>20</v>
      </c>
      <c r="D4" s="6" t="s">
        <v>35</v>
      </c>
    </row>
    <row r="5" spans="2:4" ht="29" x14ac:dyDescent="0.35">
      <c r="B5" s="6" t="s">
        <v>7</v>
      </c>
      <c r="C5" s="6" t="s">
        <v>23</v>
      </c>
      <c r="D5" s="8" t="s">
        <v>36</v>
      </c>
    </row>
    <row r="6" spans="2:4" ht="14.5" x14ac:dyDescent="0.35">
      <c r="B6" s="6" t="s">
        <v>8</v>
      </c>
      <c r="C6" s="6" t="s">
        <v>24</v>
      </c>
      <c r="D6" s="9" t="s">
        <v>37</v>
      </c>
    </row>
    <row r="7" spans="2:4" ht="29" x14ac:dyDescent="0.35">
      <c r="B7" s="6" t="s">
        <v>9</v>
      </c>
      <c r="C7" s="6" t="s">
        <v>25</v>
      </c>
      <c r="D7" s="8" t="s">
        <v>38</v>
      </c>
    </row>
    <row r="8" spans="2:4" ht="43.5" x14ac:dyDescent="0.35">
      <c r="B8" s="6" t="s">
        <v>11</v>
      </c>
      <c r="C8" s="6" t="s">
        <v>26</v>
      </c>
      <c r="D8" s="8" t="s">
        <v>39</v>
      </c>
    </row>
    <row r="9" spans="2:4" ht="72.5" x14ac:dyDescent="0.35">
      <c r="B9" s="6" t="s">
        <v>12</v>
      </c>
      <c r="C9" s="6" t="s">
        <v>27</v>
      </c>
    </row>
    <row r="10" spans="2:4" ht="43.5" x14ac:dyDescent="0.35">
      <c r="B10" s="6" t="s">
        <v>13</v>
      </c>
      <c r="C10" s="6" t="s">
        <v>28</v>
      </c>
    </row>
    <row r="11" spans="2:4" ht="43.5" x14ac:dyDescent="0.35">
      <c r="B11" s="6" t="s">
        <v>14</v>
      </c>
      <c r="C11" s="6" t="s">
        <v>29</v>
      </c>
    </row>
    <row r="12" spans="2:4" ht="29" x14ac:dyDescent="0.35">
      <c r="B12" s="6" t="s">
        <v>22</v>
      </c>
      <c r="C12" s="6" t="s">
        <v>30</v>
      </c>
    </row>
    <row r="13" spans="2:4" ht="58" x14ac:dyDescent="0.35">
      <c r="B13" s="6" t="s">
        <v>16</v>
      </c>
      <c r="C13" s="6" t="s">
        <v>31</v>
      </c>
    </row>
    <row r="14" spans="2:4" ht="43.5" x14ac:dyDescent="0.35">
      <c r="B14" s="6" t="s">
        <v>17</v>
      </c>
      <c r="C14" s="6" t="s">
        <v>32</v>
      </c>
    </row>
    <row r="15" spans="2:4" ht="29" x14ac:dyDescent="0.35">
      <c r="B15" s="6" t="s">
        <v>18</v>
      </c>
      <c r="C15" s="6" t="s">
        <v>33</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40"/>
  <sheetViews>
    <sheetView topLeftCell="A28" workbookViewId="0">
      <selection activeCell="K46" sqref="K46"/>
    </sheetView>
  </sheetViews>
  <sheetFormatPr defaultRowHeight="14.5" x14ac:dyDescent="0.35"/>
  <cols>
    <col min="2" max="2" width="8.90625" bestFit="1" customWidth="1"/>
    <col min="5" max="5" width="12.81640625" customWidth="1"/>
    <col min="9" max="9" width="10.1796875" customWidth="1"/>
    <col min="10" max="10" width="12.453125" customWidth="1"/>
    <col min="11" max="11" width="6.453125" customWidth="1"/>
    <col min="12" max="13" width="9.08984375" customWidth="1"/>
    <col min="14" max="14" width="9.81640625" customWidth="1"/>
    <col min="15" max="15" width="8.1796875" bestFit="1" customWidth="1"/>
    <col min="16" max="16" width="7.7265625" bestFit="1" customWidth="1"/>
  </cols>
  <sheetData>
    <row r="3" spans="2:16" x14ac:dyDescent="0.35">
      <c r="B3" s="19" t="s">
        <v>49</v>
      </c>
      <c r="C3" s="1">
        <v>24</v>
      </c>
    </row>
    <row r="5" spans="2:16" ht="43.5" x14ac:dyDescent="0.35">
      <c r="B5" s="4" t="s">
        <v>19</v>
      </c>
      <c r="C5" s="19" t="s">
        <v>68</v>
      </c>
      <c r="D5" s="19" t="s">
        <v>44</v>
      </c>
      <c r="E5" s="19" t="s">
        <v>45</v>
      </c>
      <c r="F5" s="19" t="s">
        <v>46</v>
      </c>
      <c r="G5" s="19" t="s">
        <v>47</v>
      </c>
      <c r="H5" s="19" t="s">
        <v>48</v>
      </c>
    </row>
    <row r="6" spans="2:16" s="21" customFormat="1" x14ac:dyDescent="0.35">
      <c r="B6" s="17">
        <v>43374</v>
      </c>
      <c r="C6" s="26">
        <f>'DQMI Data'!B4</f>
        <v>0.91800000000000004</v>
      </c>
      <c r="D6" s="27"/>
      <c r="E6" s="25">
        <f t="shared" ref="E6:E17" si="0">IF($C$3=12,AVERAGE($D$6:$D$16),IF($C$3=24,AVERAGE($D$6:$D$28),""))</f>
        <v>2.4227272727272708E-2</v>
      </c>
      <c r="F6" s="25">
        <f t="shared" ref="F6:F17" si="1">IF($C$3=12,AVERAGE($C$6:$C$16),IF($C$3=24,AVERAGE($C$6:$C$28),NA()))</f>
        <v>0.85778260869565226</v>
      </c>
      <c r="G6" s="25">
        <f t="shared" ref="G6:G17" si="2">(F6+(3*(E6/1.128)))</f>
        <v>0.92221684467244136</v>
      </c>
      <c r="H6" s="25">
        <f t="shared" ref="H6:H17" si="3">MAX(F6-(3*(E6/1.128)),0)</f>
        <v>0.79334837271886316</v>
      </c>
      <c r="I6" s="22"/>
      <c r="J6" s="22"/>
      <c r="K6" s="22"/>
      <c r="L6" s="22"/>
      <c r="M6" s="22"/>
      <c r="N6" s="22"/>
      <c r="O6" s="22"/>
      <c r="P6" s="22"/>
    </row>
    <row r="7" spans="2:16" s="21" customFormat="1" x14ac:dyDescent="0.35">
      <c r="B7" s="17">
        <v>43405</v>
      </c>
      <c r="C7" s="26">
        <f>'DQMI Data'!B5</f>
        <v>0.93500000000000005</v>
      </c>
      <c r="D7" s="27">
        <f>IF(ISBLANK(C7),"",ABS(C7-C6))</f>
        <v>1.7000000000000015E-2</v>
      </c>
      <c r="E7" s="25">
        <f t="shared" si="0"/>
        <v>2.4227272727272708E-2</v>
      </c>
      <c r="F7" s="25">
        <f t="shared" si="1"/>
        <v>0.85778260869565226</v>
      </c>
      <c r="G7" s="25">
        <f t="shared" si="2"/>
        <v>0.92221684467244136</v>
      </c>
      <c r="H7" s="25">
        <f t="shared" si="3"/>
        <v>0.79334837271886316</v>
      </c>
      <c r="I7" s="22"/>
      <c r="J7" s="23" t="s">
        <v>56</v>
      </c>
      <c r="K7" s="22"/>
      <c r="L7" s="22"/>
      <c r="M7" s="22"/>
      <c r="N7" s="22"/>
      <c r="O7" s="22"/>
      <c r="P7" s="22"/>
    </row>
    <row r="8" spans="2:16" s="21" customFormat="1" x14ac:dyDescent="0.35">
      <c r="B8" s="17">
        <v>43435</v>
      </c>
      <c r="C8" s="26">
        <f>'DQMI Data'!B6</f>
        <v>0.94200000000000006</v>
      </c>
      <c r="D8" s="27">
        <f t="shared" ref="D8:D12" si="4">IF(ISBLANK(C8),"",ABS(C8-C7))</f>
        <v>7.0000000000000062E-3</v>
      </c>
      <c r="E8" s="25">
        <f t="shared" si="0"/>
        <v>2.4227272727272708E-2</v>
      </c>
      <c r="F8" s="25">
        <f t="shared" si="1"/>
        <v>0.85778260869565226</v>
      </c>
      <c r="G8" s="25">
        <f t="shared" si="2"/>
        <v>0.92221684467244136</v>
      </c>
      <c r="H8" s="25">
        <f t="shared" si="3"/>
        <v>0.79334837271886316</v>
      </c>
      <c r="I8" s="22"/>
      <c r="J8" s="23" t="s">
        <v>57</v>
      </c>
      <c r="K8" s="22"/>
      <c r="L8" s="22"/>
      <c r="M8" s="22"/>
      <c r="N8" s="22"/>
      <c r="O8" s="22"/>
      <c r="P8" s="22"/>
    </row>
    <row r="9" spans="2:16" s="21" customFormat="1" x14ac:dyDescent="0.35">
      <c r="B9" s="17">
        <v>43466</v>
      </c>
      <c r="C9" s="26">
        <f>'DQMI Data'!B7</f>
        <v>0.94</v>
      </c>
      <c r="D9" s="27">
        <f t="shared" si="4"/>
        <v>2.0000000000001128E-3</v>
      </c>
      <c r="E9" s="25">
        <f t="shared" si="0"/>
        <v>2.4227272727272708E-2</v>
      </c>
      <c r="F9" s="25">
        <f t="shared" si="1"/>
        <v>0.85778260869565226</v>
      </c>
      <c r="G9" s="25">
        <f t="shared" si="2"/>
        <v>0.92221684467244136</v>
      </c>
      <c r="H9" s="25">
        <f t="shared" si="3"/>
        <v>0.79334837271886316</v>
      </c>
      <c r="I9" s="22"/>
      <c r="J9" s="22"/>
      <c r="K9" s="22"/>
      <c r="L9" s="22"/>
      <c r="M9" s="22"/>
      <c r="N9" s="22"/>
      <c r="O9" s="22"/>
      <c r="P9" s="22"/>
    </row>
    <row r="10" spans="2:16" s="21" customFormat="1" x14ac:dyDescent="0.35">
      <c r="B10" s="17">
        <v>43497</v>
      </c>
      <c r="C10" s="26">
        <f>'DQMI Data'!B8</f>
        <v>0.94099999999999995</v>
      </c>
      <c r="D10" s="27">
        <f t="shared" si="4"/>
        <v>1.0000000000000009E-3</v>
      </c>
      <c r="E10" s="25">
        <f t="shared" si="0"/>
        <v>2.4227272727272708E-2</v>
      </c>
      <c r="F10" s="25">
        <f t="shared" si="1"/>
        <v>0.85778260869565226</v>
      </c>
      <c r="G10" s="25">
        <f t="shared" si="2"/>
        <v>0.92221684467244136</v>
      </c>
      <c r="H10" s="25">
        <f t="shared" si="3"/>
        <v>0.79334837271886316</v>
      </c>
      <c r="I10" s="22"/>
      <c r="J10" s="22"/>
      <c r="K10" s="22"/>
      <c r="L10" s="22"/>
      <c r="M10" s="22"/>
      <c r="N10" s="22"/>
      <c r="O10" s="22"/>
      <c r="P10" s="22"/>
    </row>
    <row r="11" spans="2:16" s="21" customFormat="1" x14ac:dyDescent="0.35">
      <c r="B11" s="17">
        <v>43525</v>
      </c>
      <c r="C11" s="26">
        <f>'DQMI Data'!B9</f>
        <v>0.92200000000000004</v>
      </c>
      <c r="D11" s="27">
        <f t="shared" si="4"/>
        <v>1.8999999999999906E-2</v>
      </c>
      <c r="E11" s="25">
        <f t="shared" si="0"/>
        <v>2.4227272727272708E-2</v>
      </c>
      <c r="F11" s="25">
        <f t="shared" si="1"/>
        <v>0.85778260869565226</v>
      </c>
      <c r="G11" s="25">
        <f t="shared" si="2"/>
        <v>0.92221684467244136</v>
      </c>
      <c r="H11" s="25">
        <f t="shared" si="3"/>
        <v>0.79334837271886316</v>
      </c>
      <c r="I11" s="22"/>
      <c r="J11" s="22"/>
      <c r="K11" s="22"/>
      <c r="L11" s="22"/>
      <c r="M11" s="22"/>
      <c r="N11" s="22"/>
      <c r="O11" s="22"/>
      <c r="P11" s="22"/>
    </row>
    <row r="12" spans="2:16" s="21" customFormat="1" x14ac:dyDescent="0.35">
      <c r="B12" s="17">
        <v>43556</v>
      </c>
      <c r="C12" s="28">
        <f>'DQMI Data'!B10</f>
        <v>0.85199999999999998</v>
      </c>
      <c r="D12" s="27">
        <f t="shared" si="4"/>
        <v>7.0000000000000062E-2</v>
      </c>
      <c r="E12" s="25">
        <f t="shared" si="0"/>
        <v>2.4227272727272708E-2</v>
      </c>
      <c r="F12" s="25">
        <f t="shared" si="1"/>
        <v>0.85778260869565226</v>
      </c>
      <c r="G12" s="25">
        <f t="shared" si="2"/>
        <v>0.92221684467244136</v>
      </c>
      <c r="H12" s="25">
        <f t="shared" si="3"/>
        <v>0.79334837271886316</v>
      </c>
      <c r="I12" s="22"/>
      <c r="J12" s="22"/>
      <c r="K12" s="22"/>
      <c r="L12" s="22"/>
      <c r="M12" s="22"/>
      <c r="N12" s="22"/>
      <c r="O12" s="22"/>
      <c r="P12" s="22"/>
    </row>
    <row r="13" spans="2:16" x14ac:dyDescent="0.35">
      <c r="B13" s="17">
        <v>43586</v>
      </c>
      <c r="C13" s="28">
        <f>'DQMI Data'!B11</f>
        <v>0.85099999999999998</v>
      </c>
      <c r="D13" s="27">
        <f t="shared" ref="D13:D28" si="5">IF(ISBLANK(C13),"",ABS(C13-C12))</f>
        <v>1.0000000000000009E-3</v>
      </c>
      <c r="E13" s="25">
        <f t="shared" si="0"/>
        <v>2.4227272727272708E-2</v>
      </c>
      <c r="F13" s="25">
        <f t="shared" si="1"/>
        <v>0.85778260869565226</v>
      </c>
      <c r="G13" s="25">
        <f t="shared" si="2"/>
        <v>0.92221684467244136</v>
      </c>
      <c r="H13" s="25">
        <f t="shared" si="3"/>
        <v>0.79334837271886316</v>
      </c>
      <c r="I13" s="22"/>
      <c r="J13" s="22"/>
      <c r="K13" s="22"/>
      <c r="L13" s="22"/>
      <c r="M13" s="22"/>
      <c r="N13" s="22"/>
      <c r="O13" s="22"/>
      <c r="P13" s="22"/>
    </row>
    <row r="14" spans="2:16" x14ac:dyDescent="0.35">
      <c r="B14" s="17">
        <v>43617</v>
      </c>
      <c r="C14" s="28">
        <f>'DQMI Data'!B12</f>
        <v>0.85099999999999998</v>
      </c>
      <c r="D14" s="27">
        <f t="shared" si="5"/>
        <v>0</v>
      </c>
      <c r="E14" s="25">
        <f t="shared" si="0"/>
        <v>2.4227272727272708E-2</v>
      </c>
      <c r="F14" s="25">
        <f t="shared" si="1"/>
        <v>0.85778260869565226</v>
      </c>
      <c r="G14" s="25">
        <f t="shared" si="2"/>
        <v>0.92221684467244136</v>
      </c>
      <c r="H14" s="25">
        <f t="shared" si="3"/>
        <v>0.79334837271886316</v>
      </c>
      <c r="I14" s="22"/>
      <c r="J14" s="22"/>
      <c r="K14" s="22"/>
      <c r="L14" s="22"/>
      <c r="M14" s="22"/>
      <c r="N14" s="22"/>
      <c r="O14" s="22"/>
      <c r="P14" s="22"/>
    </row>
    <row r="15" spans="2:16" x14ac:dyDescent="0.35">
      <c r="B15" s="17">
        <v>43647</v>
      </c>
      <c r="C15" s="28">
        <f>'DQMI Data'!B13</f>
        <v>0.84900000000000009</v>
      </c>
      <c r="D15" s="27">
        <f t="shared" si="5"/>
        <v>1.9999999999998908E-3</v>
      </c>
      <c r="E15" s="25">
        <f t="shared" si="0"/>
        <v>2.4227272727272708E-2</v>
      </c>
      <c r="F15" s="25">
        <f t="shared" si="1"/>
        <v>0.85778260869565226</v>
      </c>
      <c r="G15" s="25">
        <f t="shared" si="2"/>
        <v>0.92221684467244136</v>
      </c>
      <c r="H15" s="25">
        <f t="shared" si="3"/>
        <v>0.79334837271886316</v>
      </c>
      <c r="I15" s="22"/>
      <c r="J15" s="22"/>
      <c r="K15" s="22"/>
      <c r="L15" s="22"/>
      <c r="M15" s="22"/>
      <c r="N15" s="22"/>
      <c r="O15" s="22"/>
      <c r="P15" s="22"/>
    </row>
    <row r="16" spans="2:16" x14ac:dyDescent="0.35">
      <c r="B16" s="17">
        <v>43678</v>
      </c>
      <c r="C16" s="28">
        <f>'DQMI Data'!B14</f>
        <v>0.84499999999999997</v>
      </c>
      <c r="D16" s="27">
        <f t="shared" si="5"/>
        <v>4.0000000000001146E-3</v>
      </c>
      <c r="E16" s="25">
        <f t="shared" si="0"/>
        <v>2.4227272727272708E-2</v>
      </c>
      <c r="F16" s="25">
        <f t="shared" si="1"/>
        <v>0.85778260869565226</v>
      </c>
      <c r="G16" s="25">
        <f t="shared" si="2"/>
        <v>0.92221684467244136</v>
      </c>
      <c r="H16" s="25">
        <f t="shared" si="3"/>
        <v>0.79334837271886316</v>
      </c>
      <c r="I16" s="40" t="s">
        <v>50</v>
      </c>
      <c r="J16" s="41"/>
      <c r="K16" s="41"/>
      <c r="L16" s="41"/>
      <c r="M16" s="41"/>
      <c r="N16" s="41"/>
      <c r="O16" s="41"/>
      <c r="P16" s="42"/>
    </row>
    <row r="17" spans="2:16" ht="14.5" customHeight="1" x14ac:dyDescent="0.35">
      <c r="B17" s="17">
        <v>43709</v>
      </c>
      <c r="C17" s="28">
        <f>'DQMI Data'!B15</f>
        <v>0.84599999999999997</v>
      </c>
      <c r="D17" s="27">
        <f t="shared" si="5"/>
        <v>1.0000000000000009E-3</v>
      </c>
      <c r="E17" s="25">
        <f t="shared" si="0"/>
        <v>2.4227272727272708E-2</v>
      </c>
      <c r="F17" s="25">
        <f t="shared" si="1"/>
        <v>0.85778260869565226</v>
      </c>
      <c r="G17" s="25">
        <f t="shared" si="2"/>
        <v>0.92221684467244136</v>
      </c>
      <c r="H17" s="25">
        <f t="shared" si="3"/>
        <v>0.79334837271886316</v>
      </c>
      <c r="I17" s="19" t="s">
        <v>51</v>
      </c>
      <c r="J17" s="19" t="s">
        <v>52</v>
      </c>
      <c r="K17" s="19" t="s">
        <v>53</v>
      </c>
      <c r="L17" s="19" t="s">
        <v>54</v>
      </c>
      <c r="M17" s="19" t="s">
        <v>55</v>
      </c>
      <c r="N17" s="19" t="s">
        <v>58</v>
      </c>
      <c r="O17" s="19" t="s">
        <v>59</v>
      </c>
      <c r="P17" s="19" t="s">
        <v>60</v>
      </c>
    </row>
    <row r="18" spans="2:16" x14ac:dyDescent="0.35">
      <c r="B18" s="17">
        <v>43739</v>
      </c>
      <c r="C18" s="28">
        <f>'DQMI Data'!B16</f>
        <v>0.69400000000000006</v>
      </c>
      <c r="D18" s="27">
        <f t="shared" si="5"/>
        <v>0.15199999999999991</v>
      </c>
      <c r="E18" s="25">
        <f>IF(ISBLANK(L18),E17,M18)</f>
        <v>2.4227272727272708E-2</v>
      </c>
      <c r="F18" s="25">
        <f>IF(ISBLANK(L18),F17,N18)</f>
        <v>0.85778260869565226</v>
      </c>
      <c r="G18" s="25">
        <f>IF(ISBLANK(L18),G17,O18)</f>
        <v>0.92221684467244136</v>
      </c>
      <c r="H18" s="25">
        <f>IF(ISBLANK(L18),H17,P18)</f>
        <v>0.79334837271886316</v>
      </c>
      <c r="I18" s="1" t="str">
        <f>IF(C18&gt;G18,"Above UCL",IF(C18&lt;H18,"Below LCL",""))</f>
        <v>Below LCL</v>
      </c>
      <c r="J18" s="1" t="str">
        <f>IF(C18&gt;F18,"Above Mean", IF(C18&lt;F18,"Below Mean",""))</f>
        <v>Below Mean</v>
      </c>
      <c r="K18" s="1" t="str">
        <f>IF(ISBLANK(C18),"",IF(C18&gt;C17,"Up",IF(C18=C17,"","Down")))</f>
        <v>Down</v>
      </c>
      <c r="L18" s="1"/>
      <c r="M18" s="25" t="e">
        <f t="shared" ref="M18:M29" si="6">IF($C$3=12,IF(ISBLANK(L18)=TRUE,NA(),AVERAGE(D18:D28)),IF($C$3=24,IF(ISBLANK(L18)=TRUE,NA(),AVERAGE(D18:D40))))</f>
        <v>#N/A</v>
      </c>
      <c r="N18" s="25" t="e">
        <f t="shared" ref="N18:N29" si="7">IF($C$3=12,IF(ISBLANK(L18)=TRUE,NA(),AVERAGE(C18:C28)),IF($C$3=24,IF(ISBLANK(L18)=TRUE,NA(),AVERAGE(C18:C40))))</f>
        <v>#N/A</v>
      </c>
      <c r="O18" s="1" t="e">
        <f t="shared" ref="O18:O29" si="8">IF(ISBLANK(L18)=TRUE,NA(),(N18+(3*M18/1.128)))</f>
        <v>#N/A</v>
      </c>
      <c r="P18" s="1" t="e">
        <f t="shared" ref="P18:P29" si="9">IF(ISBLANK(L18)=TRUE,NA(),MAX(N18-(3*M18/1.128),0))</f>
        <v>#N/A</v>
      </c>
    </row>
    <row r="19" spans="2:16" x14ac:dyDescent="0.35">
      <c r="B19" s="17">
        <v>43770</v>
      </c>
      <c r="C19" s="28">
        <f>'DQMI Data'!B17</f>
        <v>0.82</v>
      </c>
      <c r="D19" s="27">
        <f t="shared" si="5"/>
        <v>0.12599999999999989</v>
      </c>
      <c r="E19" s="25">
        <f t="shared" ref="E19:E31" si="10">IF(ISBLANK(L19),E18,M19)</f>
        <v>2.4227272727272708E-2</v>
      </c>
      <c r="F19" s="25">
        <f t="shared" ref="F19:F31" si="11">IF(ISBLANK(L19),F18,N19)</f>
        <v>0.85778260869565226</v>
      </c>
      <c r="G19" s="25">
        <f t="shared" ref="G19:G31" si="12">IF(ISBLANK(L19),G18,O19)</f>
        <v>0.92221684467244136</v>
      </c>
      <c r="H19" s="25">
        <f t="shared" ref="H19:H31" si="13">IF(ISBLANK(L19),H18,P19)</f>
        <v>0.79334837271886316</v>
      </c>
      <c r="I19" s="1" t="str">
        <f t="shared" ref="I19:I31" si="14">IF(C19&gt;G19,"Above UCL",IF(C19&lt;H19,"Below LCL",""))</f>
        <v/>
      </c>
      <c r="J19" s="1" t="str">
        <f t="shared" ref="J19:J31" si="15">IF(C19&gt;F19,"Above Mean", IF(C19&lt;F19,"Below Mean",""))</f>
        <v>Below Mean</v>
      </c>
      <c r="K19" s="1" t="str">
        <f t="shared" ref="K19:K31" si="16">IF(ISBLANK(C19),"",IF(C19&gt;C18,"Up",IF(C19=C18,"","Down")))</f>
        <v>Up</v>
      </c>
      <c r="L19" s="1"/>
      <c r="M19" s="25" t="e">
        <f t="shared" si="6"/>
        <v>#N/A</v>
      </c>
      <c r="N19" s="25" t="e">
        <f t="shared" si="7"/>
        <v>#N/A</v>
      </c>
      <c r="O19" s="1" t="e">
        <f t="shared" si="8"/>
        <v>#N/A</v>
      </c>
      <c r="P19" s="1" t="e">
        <f t="shared" si="9"/>
        <v>#N/A</v>
      </c>
    </row>
    <row r="20" spans="2:16" x14ac:dyDescent="0.35">
      <c r="B20" s="17">
        <v>43800</v>
      </c>
      <c r="C20" s="28">
        <f>'DQMI Data'!B18</f>
        <v>0.82</v>
      </c>
      <c r="D20" s="27">
        <f t="shared" si="5"/>
        <v>0</v>
      </c>
      <c r="E20" s="25">
        <f t="shared" si="10"/>
        <v>2.4227272727272708E-2</v>
      </c>
      <c r="F20" s="25">
        <f t="shared" si="11"/>
        <v>0.85778260869565226</v>
      </c>
      <c r="G20" s="25">
        <f t="shared" si="12"/>
        <v>0.92221684467244136</v>
      </c>
      <c r="H20" s="25">
        <f t="shared" si="13"/>
        <v>0.79334837271886316</v>
      </c>
      <c r="I20" s="1" t="str">
        <f t="shared" si="14"/>
        <v/>
      </c>
      <c r="J20" s="1" t="str">
        <f t="shared" si="15"/>
        <v>Below Mean</v>
      </c>
      <c r="K20" s="1" t="str">
        <f t="shared" si="16"/>
        <v/>
      </c>
      <c r="L20" s="1"/>
      <c r="M20" s="25" t="e">
        <f t="shared" si="6"/>
        <v>#N/A</v>
      </c>
      <c r="N20" s="25" t="e">
        <f t="shared" si="7"/>
        <v>#N/A</v>
      </c>
      <c r="O20" s="1" t="e">
        <f t="shared" si="8"/>
        <v>#N/A</v>
      </c>
      <c r="P20" s="1" t="e">
        <f t="shared" si="9"/>
        <v>#N/A</v>
      </c>
    </row>
    <row r="21" spans="2:16" x14ac:dyDescent="0.35">
      <c r="B21" s="17">
        <v>43831</v>
      </c>
      <c r="C21" s="28">
        <f>'DQMI Data'!B19</f>
        <v>0.83400000000000007</v>
      </c>
      <c r="D21" s="27">
        <f t="shared" si="5"/>
        <v>1.4000000000000123E-2</v>
      </c>
      <c r="E21" s="25">
        <f t="shared" si="10"/>
        <v>2.4227272727272708E-2</v>
      </c>
      <c r="F21" s="25">
        <f t="shared" si="11"/>
        <v>0.85778260869565226</v>
      </c>
      <c r="G21" s="25">
        <f t="shared" si="12"/>
        <v>0.92221684467244136</v>
      </c>
      <c r="H21" s="25">
        <f t="shared" si="13"/>
        <v>0.79334837271886316</v>
      </c>
      <c r="I21" s="1" t="str">
        <f t="shared" si="14"/>
        <v/>
      </c>
      <c r="J21" s="1" t="str">
        <f t="shared" si="15"/>
        <v>Below Mean</v>
      </c>
      <c r="K21" s="1" t="str">
        <f t="shared" si="16"/>
        <v>Up</v>
      </c>
      <c r="L21" s="1"/>
      <c r="M21" s="25" t="e">
        <f t="shared" si="6"/>
        <v>#N/A</v>
      </c>
      <c r="N21" s="25" t="e">
        <f t="shared" si="7"/>
        <v>#N/A</v>
      </c>
      <c r="O21" s="1" t="e">
        <f t="shared" si="8"/>
        <v>#N/A</v>
      </c>
      <c r="P21" s="1" t="e">
        <f t="shared" si="9"/>
        <v>#N/A</v>
      </c>
    </row>
    <row r="22" spans="2:16" x14ac:dyDescent="0.35">
      <c r="B22" s="17">
        <v>43862</v>
      </c>
      <c r="C22" s="28">
        <f>'DQMI Data'!B20</f>
        <v>0.85</v>
      </c>
      <c r="D22" s="27">
        <f t="shared" si="5"/>
        <v>1.5999999999999903E-2</v>
      </c>
      <c r="E22" s="25">
        <f t="shared" si="10"/>
        <v>2.4227272727272708E-2</v>
      </c>
      <c r="F22" s="25">
        <f t="shared" si="11"/>
        <v>0.85778260869565226</v>
      </c>
      <c r="G22" s="25">
        <f t="shared" si="12"/>
        <v>0.92221684467244136</v>
      </c>
      <c r="H22" s="25">
        <f t="shared" si="13"/>
        <v>0.79334837271886316</v>
      </c>
      <c r="I22" s="1" t="str">
        <f t="shared" si="14"/>
        <v/>
      </c>
      <c r="J22" s="1" t="str">
        <f t="shared" si="15"/>
        <v>Below Mean</v>
      </c>
      <c r="K22" s="1" t="str">
        <f t="shared" si="16"/>
        <v>Up</v>
      </c>
      <c r="L22" s="1"/>
      <c r="M22" s="25" t="e">
        <f t="shared" si="6"/>
        <v>#N/A</v>
      </c>
      <c r="N22" s="25" t="e">
        <f t="shared" si="7"/>
        <v>#N/A</v>
      </c>
      <c r="O22" s="1" t="e">
        <f t="shared" si="8"/>
        <v>#N/A</v>
      </c>
      <c r="P22" s="1" t="e">
        <f t="shared" si="9"/>
        <v>#N/A</v>
      </c>
    </row>
    <row r="23" spans="2:16" x14ac:dyDescent="0.35">
      <c r="B23" s="17">
        <v>43891</v>
      </c>
      <c r="C23" s="28">
        <f>'DQMI Data'!B21</f>
        <v>0.82099999999999995</v>
      </c>
      <c r="D23" s="27">
        <f t="shared" si="5"/>
        <v>2.9000000000000026E-2</v>
      </c>
      <c r="E23" s="25">
        <f t="shared" si="10"/>
        <v>2.4227272727272708E-2</v>
      </c>
      <c r="F23" s="25">
        <f t="shared" si="11"/>
        <v>0.85778260869565226</v>
      </c>
      <c r="G23" s="25">
        <f t="shared" si="12"/>
        <v>0.92221684467244136</v>
      </c>
      <c r="H23" s="25">
        <f t="shared" si="13"/>
        <v>0.79334837271886316</v>
      </c>
      <c r="I23" s="1" t="str">
        <f t="shared" si="14"/>
        <v/>
      </c>
      <c r="J23" s="1" t="str">
        <f t="shared" si="15"/>
        <v>Below Mean</v>
      </c>
      <c r="K23" s="1" t="str">
        <f t="shared" si="16"/>
        <v>Down</v>
      </c>
      <c r="L23" s="1"/>
      <c r="M23" s="25" t="e">
        <f t="shared" si="6"/>
        <v>#N/A</v>
      </c>
      <c r="N23" s="25" t="e">
        <f t="shared" si="7"/>
        <v>#N/A</v>
      </c>
      <c r="O23" s="1" t="e">
        <f t="shared" si="8"/>
        <v>#N/A</v>
      </c>
      <c r="P23" s="1" t="e">
        <f t="shared" si="9"/>
        <v>#N/A</v>
      </c>
    </row>
    <row r="24" spans="2:16" x14ac:dyDescent="0.35">
      <c r="B24" s="17">
        <v>43922</v>
      </c>
      <c r="C24" s="28">
        <f>'DQMI Data'!B22</f>
        <v>0.82</v>
      </c>
      <c r="D24" s="27">
        <f t="shared" si="5"/>
        <v>1.0000000000000009E-3</v>
      </c>
      <c r="E24" s="25">
        <f t="shared" si="10"/>
        <v>2.4227272727272708E-2</v>
      </c>
      <c r="F24" s="25">
        <f t="shared" si="11"/>
        <v>0.85778260869565226</v>
      </c>
      <c r="G24" s="25">
        <f t="shared" si="12"/>
        <v>0.92221684467244136</v>
      </c>
      <c r="H24" s="25">
        <f t="shared" si="13"/>
        <v>0.79334837271886316</v>
      </c>
      <c r="I24" s="1" t="str">
        <f t="shared" si="14"/>
        <v/>
      </c>
      <c r="J24" s="1" t="str">
        <f t="shared" si="15"/>
        <v>Below Mean</v>
      </c>
      <c r="K24" s="1" t="str">
        <f t="shared" si="16"/>
        <v>Down</v>
      </c>
      <c r="L24" s="1"/>
      <c r="M24" s="25" t="e">
        <f t="shared" si="6"/>
        <v>#N/A</v>
      </c>
      <c r="N24" s="25" t="e">
        <f t="shared" si="7"/>
        <v>#N/A</v>
      </c>
      <c r="O24" s="1" t="e">
        <f t="shared" si="8"/>
        <v>#N/A</v>
      </c>
      <c r="P24" s="1" t="e">
        <f t="shared" si="9"/>
        <v>#N/A</v>
      </c>
    </row>
    <row r="25" spans="2:16" x14ac:dyDescent="0.35">
      <c r="B25" s="17">
        <v>43952</v>
      </c>
      <c r="C25" s="28">
        <f>'DQMI Data'!B23</f>
        <v>0.82</v>
      </c>
      <c r="D25" s="27">
        <f t="shared" si="5"/>
        <v>0</v>
      </c>
      <c r="E25" s="25">
        <f t="shared" si="10"/>
        <v>2.4227272727272708E-2</v>
      </c>
      <c r="F25" s="25">
        <f t="shared" si="11"/>
        <v>0.85778260869565226</v>
      </c>
      <c r="G25" s="25">
        <f t="shared" si="12"/>
        <v>0.92221684467244136</v>
      </c>
      <c r="H25" s="25">
        <f t="shared" si="13"/>
        <v>0.79334837271886316</v>
      </c>
      <c r="I25" s="1" t="str">
        <f t="shared" si="14"/>
        <v/>
      </c>
      <c r="J25" s="1" t="str">
        <f t="shared" si="15"/>
        <v>Below Mean</v>
      </c>
      <c r="K25" s="1" t="str">
        <f t="shared" si="16"/>
        <v/>
      </c>
      <c r="L25" s="1"/>
      <c r="M25" s="25" t="e">
        <f t="shared" si="6"/>
        <v>#N/A</v>
      </c>
      <c r="N25" s="25" t="e">
        <f t="shared" si="7"/>
        <v>#N/A</v>
      </c>
      <c r="O25" s="27" t="e">
        <f t="shared" si="8"/>
        <v>#N/A</v>
      </c>
      <c r="P25" s="27" t="e">
        <f t="shared" si="9"/>
        <v>#N/A</v>
      </c>
    </row>
    <row r="26" spans="2:16" x14ac:dyDescent="0.35">
      <c r="B26" s="17">
        <v>43983</v>
      </c>
      <c r="C26" s="28">
        <f>'DQMI Data'!B24</f>
        <v>0.81900000000000006</v>
      </c>
      <c r="D26" s="27">
        <f t="shared" si="5"/>
        <v>9.9999999999988987E-4</v>
      </c>
      <c r="E26" s="25">
        <f t="shared" si="10"/>
        <v>2.4227272727272708E-2</v>
      </c>
      <c r="F26" s="25">
        <f t="shared" si="11"/>
        <v>0.85778260869565226</v>
      </c>
      <c r="G26" s="25">
        <f t="shared" si="12"/>
        <v>0.92221684467244136</v>
      </c>
      <c r="H26" s="25">
        <f t="shared" si="13"/>
        <v>0.79334837271886316</v>
      </c>
      <c r="I26" s="1" t="str">
        <f t="shared" si="14"/>
        <v/>
      </c>
      <c r="J26" s="1" t="str">
        <f t="shared" si="15"/>
        <v>Below Mean</v>
      </c>
      <c r="K26" s="1" t="str">
        <f t="shared" si="16"/>
        <v>Down</v>
      </c>
      <c r="L26" s="1"/>
      <c r="M26" s="25" t="e">
        <f t="shared" si="6"/>
        <v>#N/A</v>
      </c>
      <c r="N26" s="25" t="e">
        <f t="shared" si="7"/>
        <v>#N/A</v>
      </c>
      <c r="O26" s="27" t="e">
        <f t="shared" si="8"/>
        <v>#N/A</v>
      </c>
      <c r="P26" s="27" t="e">
        <f t="shared" si="9"/>
        <v>#N/A</v>
      </c>
    </row>
    <row r="27" spans="2:16" x14ac:dyDescent="0.35">
      <c r="B27" s="17">
        <v>44013</v>
      </c>
      <c r="C27" s="28">
        <f>'DQMI Data'!B25</f>
        <v>0.87599999999999989</v>
      </c>
      <c r="D27" s="27">
        <f t="shared" si="5"/>
        <v>5.6999999999999829E-2</v>
      </c>
      <c r="E27" s="25">
        <f t="shared" si="10"/>
        <v>2.4227272727272708E-2</v>
      </c>
      <c r="F27" s="25">
        <f t="shared" si="11"/>
        <v>0.85778260869565226</v>
      </c>
      <c r="G27" s="25">
        <f t="shared" si="12"/>
        <v>0.92221684467244136</v>
      </c>
      <c r="H27" s="25">
        <f t="shared" si="13"/>
        <v>0.79334837271886316</v>
      </c>
      <c r="I27" s="1" t="str">
        <f t="shared" si="14"/>
        <v/>
      </c>
      <c r="J27" s="1" t="str">
        <f t="shared" si="15"/>
        <v>Above Mean</v>
      </c>
      <c r="K27" s="1" t="str">
        <f t="shared" si="16"/>
        <v>Up</v>
      </c>
      <c r="L27" s="1"/>
      <c r="M27" s="25" t="e">
        <f t="shared" si="6"/>
        <v>#N/A</v>
      </c>
      <c r="N27" s="25" t="e">
        <f t="shared" si="7"/>
        <v>#N/A</v>
      </c>
      <c r="O27" s="1" t="e">
        <f t="shared" si="8"/>
        <v>#N/A</v>
      </c>
      <c r="P27" s="1" t="e">
        <f t="shared" si="9"/>
        <v>#N/A</v>
      </c>
    </row>
    <row r="28" spans="2:16" x14ac:dyDescent="0.35">
      <c r="B28" s="17">
        <v>44044</v>
      </c>
      <c r="C28" s="28">
        <f>'DQMI Data'!B26</f>
        <v>0.86299999999999999</v>
      </c>
      <c r="D28" s="27">
        <f t="shared" si="5"/>
        <v>1.2999999999999901E-2</v>
      </c>
      <c r="E28" s="25">
        <f t="shared" si="10"/>
        <v>2.4227272727272708E-2</v>
      </c>
      <c r="F28" s="25">
        <f t="shared" si="11"/>
        <v>0.85778260869565226</v>
      </c>
      <c r="G28" s="25">
        <f t="shared" si="12"/>
        <v>0.92221684467244136</v>
      </c>
      <c r="H28" s="25">
        <f t="shared" si="13"/>
        <v>0.79334837271886316</v>
      </c>
      <c r="I28" s="1" t="str">
        <f t="shared" si="14"/>
        <v/>
      </c>
      <c r="J28" s="1" t="str">
        <f t="shared" si="15"/>
        <v>Above Mean</v>
      </c>
      <c r="K28" s="1" t="str">
        <f t="shared" si="16"/>
        <v>Down</v>
      </c>
      <c r="L28" s="1"/>
      <c r="M28" s="25" t="e">
        <f t="shared" si="6"/>
        <v>#N/A</v>
      </c>
      <c r="N28" s="25" t="e">
        <f t="shared" si="7"/>
        <v>#N/A</v>
      </c>
      <c r="O28" s="1" t="e">
        <f t="shared" si="8"/>
        <v>#N/A</v>
      </c>
      <c r="P28" s="1" t="e">
        <f t="shared" si="9"/>
        <v>#N/A</v>
      </c>
    </row>
    <row r="29" spans="2:16" x14ac:dyDescent="0.35">
      <c r="B29" s="17">
        <v>44075</v>
      </c>
      <c r="C29" s="28">
        <f>'DQMI Data'!B27</f>
        <v>0.87</v>
      </c>
      <c r="D29" s="27">
        <f t="shared" ref="D29" si="17">IF(ISBLANK(C29),"",ABS(C29-C28))</f>
        <v>7.0000000000000062E-3</v>
      </c>
      <c r="E29" s="25">
        <f t="shared" si="10"/>
        <v>6.0000000000000235E-3</v>
      </c>
      <c r="F29" s="25">
        <f t="shared" si="11"/>
        <v>0.89683333333333304</v>
      </c>
      <c r="G29" s="25">
        <f t="shared" si="12"/>
        <v>0.91279078014184378</v>
      </c>
      <c r="H29" s="25">
        <f t="shared" si="13"/>
        <v>0.88087588652482229</v>
      </c>
      <c r="I29" s="1" t="str">
        <f t="shared" si="14"/>
        <v>Below LCL</v>
      </c>
      <c r="J29" s="1" t="str">
        <f t="shared" si="15"/>
        <v>Below Mean</v>
      </c>
      <c r="K29" s="1" t="str">
        <f t="shared" si="16"/>
        <v>Up</v>
      </c>
      <c r="L29" s="1" t="s">
        <v>56</v>
      </c>
      <c r="M29" s="25">
        <f t="shared" si="6"/>
        <v>6.0000000000000235E-3</v>
      </c>
      <c r="N29" s="25">
        <f t="shared" si="7"/>
        <v>0.89683333333333304</v>
      </c>
      <c r="O29" s="1">
        <f t="shared" si="8"/>
        <v>0.91279078014184378</v>
      </c>
      <c r="P29" s="1">
        <f t="shared" si="9"/>
        <v>0.88087588652482229</v>
      </c>
    </row>
    <row r="30" spans="2:16" x14ac:dyDescent="0.35">
      <c r="B30" s="17">
        <v>44105</v>
      </c>
      <c r="C30" s="28">
        <f>'DQMI Data'!B28</f>
        <v>0.877</v>
      </c>
      <c r="D30" s="27">
        <f t="shared" ref="D30" si="18">IF(ISBLANK(C30),"",ABS(C30-C29))</f>
        <v>7.0000000000000062E-3</v>
      </c>
      <c r="E30" s="25">
        <f t="shared" si="10"/>
        <v>6.0000000000000235E-3</v>
      </c>
      <c r="F30" s="25">
        <f t="shared" si="11"/>
        <v>0.89683333333333304</v>
      </c>
      <c r="G30" s="25">
        <f t="shared" si="12"/>
        <v>0.91279078014184378</v>
      </c>
      <c r="H30" s="25">
        <f t="shared" si="13"/>
        <v>0.88087588652482229</v>
      </c>
      <c r="I30" s="1" t="str">
        <f t="shared" si="14"/>
        <v>Below LCL</v>
      </c>
      <c r="J30" s="1" t="str">
        <f t="shared" si="15"/>
        <v>Below Mean</v>
      </c>
      <c r="K30" s="1" t="str">
        <f t="shared" si="16"/>
        <v>Up</v>
      </c>
      <c r="L30" s="1"/>
      <c r="M30" s="25" t="e">
        <f t="shared" ref="M30:M35" si="19">IF($C$3=12,IF(ISBLANK(L30)=TRUE,NA(),AVERAGE(D30:D40)),IF($C$3=24,IF(ISBLANK(L30)=TRUE,NA(),AVERAGE(D30:D52))))</f>
        <v>#N/A</v>
      </c>
      <c r="N30" s="25" t="e">
        <f t="shared" ref="N30:N35" si="20">IF($C$3=12,IF(ISBLANK(L30)=TRUE,NA(),AVERAGE(C30:C40)),IF($C$3=24,IF(ISBLANK(L30)=TRUE,NA(),AVERAGE(C30:C52))))</f>
        <v>#N/A</v>
      </c>
      <c r="O30" s="1" t="e">
        <f t="shared" ref="O30" si="21">IF(ISBLANK(L30)=TRUE,NA(),(N30+(3*M30/1.128)))</f>
        <v>#N/A</v>
      </c>
      <c r="P30" s="1" t="e">
        <f t="shared" ref="P30" si="22">IF(ISBLANK(L30)=TRUE,NA(),MAX(N30-(3*M30/1.128),0))</f>
        <v>#N/A</v>
      </c>
    </row>
    <row r="31" spans="2:16" x14ac:dyDescent="0.35">
      <c r="B31" s="17">
        <v>44136</v>
      </c>
      <c r="C31" s="28">
        <f>'DQMI Data'!B29</f>
        <v>0.88200000000000001</v>
      </c>
      <c r="D31" s="27">
        <f t="shared" ref="D31" si="23">IF(ISBLANK(C31),"",ABS(C31-C30))</f>
        <v>5.0000000000000044E-3</v>
      </c>
      <c r="E31" s="25">
        <f t="shared" si="10"/>
        <v>6.0000000000000235E-3</v>
      </c>
      <c r="F31" s="25">
        <f t="shared" si="11"/>
        <v>0.89683333333333304</v>
      </c>
      <c r="G31" s="25">
        <f t="shared" si="12"/>
        <v>0.91279078014184378</v>
      </c>
      <c r="H31" s="25">
        <f t="shared" si="13"/>
        <v>0.88087588652482229</v>
      </c>
      <c r="I31" s="1" t="str">
        <f t="shared" si="14"/>
        <v/>
      </c>
      <c r="J31" s="1" t="str">
        <f t="shared" si="15"/>
        <v>Below Mean</v>
      </c>
      <c r="K31" s="1" t="str">
        <f t="shared" si="16"/>
        <v>Up</v>
      </c>
      <c r="L31" s="1"/>
      <c r="M31" s="25" t="e">
        <f t="shared" si="19"/>
        <v>#N/A</v>
      </c>
      <c r="N31" s="25" t="e">
        <f t="shared" si="20"/>
        <v>#N/A</v>
      </c>
      <c r="O31" s="1" t="e">
        <f t="shared" ref="O31" si="24">IF(ISBLANK(L31)=TRUE,NA(),(N31+(3*M31/1.128)))</f>
        <v>#N/A</v>
      </c>
      <c r="P31" s="1" t="e">
        <f t="shared" ref="P31" si="25">IF(ISBLANK(L31)=TRUE,NA(),MAX(N31-(3*M31/1.128),0))</f>
        <v>#N/A</v>
      </c>
    </row>
    <row r="32" spans="2:16" x14ac:dyDescent="0.35">
      <c r="B32" s="17">
        <v>44166</v>
      </c>
      <c r="C32" s="28">
        <f>'DQMI Data'!B30</f>
        <v>0.88099999999999989</v>
      </c>
      <c r="D32" s="27">
        <f t="shared" ref="D32" si="26">IF(ISBLANK(C32),"",ABS(C32-C31))</f>
        <v>1.0000000000001119E-3</v>
      </c>
      <c r="E32" s="25">
        <f t="shared" ref="E32" si="27">IF(ISBLANK(L32),E31,M32)</f>
        <v>6.0000000000000235E-3</v>
      </c>
      <c r="F32" s="25">
        <f t="shared" ref="F32" si="28">IF(ISBLANK(L32),F31,N32)</f>
        <v>0.89683333333333304</v>
      </c>
      <c r="G32" s="25">
        <f t="shared" ref="G32" si="29">IF(ISBLANK(L32),G31,O32)</f>
        <v>0.91279078014184378</v>
      </c>
      <c r="H32" s="25">
        <f t="shared" ref="H32" si="30">IF(ISBLANK(L32),H31,P32)</f>
        <v>0.88087588652482229</v>
      </c>
      <c r="I32" s="1" t="str">
        <f t="shared" ref="I32" si="31">IF(C32&gt;G32,"Above UCL",IF(C32&lt;H32,"Below LCL",""))</f>
        <v/>
      </c>
      <c r="J32" s="1" t="str">
        <f t="shared" ref="J32" si="32">IF(C32&gt;F32,"Above Mean", IF(C32&lt;F32,"Below Mean",""))</f>
        <v>Below Mean</v>
      </c>
      <c r="K32" s="1" t="str">
        <f t="shared" ref="K32" si="33">IF(ISBLANK(C32),"",IF(C32&gt;C31,"Up",IF(C32=C31,"","Down")))</f>
        <v>Down</v>
      </c>
      <c r="L32" s="1"/>
      <c r="M32" s="25" t="e">
        <f t="shared" si="19"/>
        <v>#N/A</v>
      </c>
      <c r="N32" s="25" t="e">
        <f t="shared" si="20"/>
        <v>#N/A</v>
      </c>
      <c r="O32" s="1" t="e">
        <f t="shared" ref="O32" si="34">IF(ISBLANK(L32)=TRUE,NA(),(N32+(3*M32/1.128)))</f>
        <v>#N/A</v>
      </c>
      <c r="P32" s="1" t="e">
        <f t="shared" ref="P32" si="35">IF(ISBLANK(L32)=TRUE,NA(),MAX(N32-(3*M32/1.128),0))</f>
        <v>#N/A</v>
      </c>
    </row>
    <row r="33" spans="2:16" x14ac:dyDescent="0.35">
      <c r="B33" s="17">
        <v>44197</v>
      </c>
      <c r="C33" s="28">
        <f>'DQMI Data'!B31</f>
        <v>0.89</v>
      </c>
      <c r="D33" s="27">
        <f t="shared" ref="D33" si="36">IF(ISBLANK(C33),"",ABS(C33-C32))</f>
        <v>9.000000000000119E-3</v>
      </c>
      <c r="E33" s="25">
        <f t="shared" ref="E33" si="37">IF(ISBLANK(L33),E32,M33)</f>
        <v>6.0000000000000235E-3</v>
      </c>
      <c r="F33" s="25">
        <f t="shared" ref="F33" si="38">IF(ISBLANK(L33),F32,N33)</f>
        <v>0.89683333333333304</v>
      </c>
      <c r="G33" s="25">
        <f t="shared" ref="G33" si="39">IF(ISBLANK(L33),G32,O33)</f>
        <v>0.91279078014184378</v>
      </c>
      <c r="H33" s="25">
        <f t="shared" ref="H33" si="40">IF(ISBLANK(L33),H32,P33)</f>
        <v>0.88087588652482229</v>
      </c>
      <c r="I33" s="1" t="str">
        <f t="shared" ref="I33" si="41">IF(C33&gt;G33,"Above UCL",IF(C33&lt;H33,"Below LCL",""))</f>
        <v/>
      </c>
      <c r="J33" s="1" t="str">
        <f t="shared" ref="J33" si="42">IF(C33&gt;F33,"Above Mean", IF(C33&lt;F33,"Below Mean",""))</f>
        <v>Below Mean</v>
      </c>
      <c r="K33" s="1" t="str">
        <f t="shared" ref="K33" si="43">IF(ISBLANK(C33),"",IF(C33&gt;C32,"Up",IF(C33=C32,"","Down")))</f>
        <v>Up</v>
      </c>
      <c r="L33" s="1"/>
      <c r="M33" s="25" t="e">
        <f t="shared" si="19"/>
        <v>#N/A</v>
      </c>
      <c r="N33" s="25" t="e">
        <f t="shared" si="20"/>
        <v>#N/A</v>
      </c>
      <c r="O33" s="1" t="e">
        <f t="shared" ref="O33" si="44">IF(ISBLANK(L33)=TRUE,NA(),(N33+(3*M33/1.128)))</f>
        <v>#N/A</v>
      </c>
      <c r="P33" s="1" t="e">
        <f t="shared" ref="P33" si="45">IF(ISBLANK(L33)=TRUE,NA(),MAX(N33-(3*M33/1.128),0))</f>
        <v>#N/A</v>
      </c>
    </row>
    <row r="34" spans="2:16" x14ac:dyDescent="0.35">
      <c r="B34" s="17">
        <v>44228</v>
      </c>
      <c r="C34" s="28">
        <f>'DQMI Data'!B32</f>
        <v>0.90700000000000003</v>
      </c>
      <c r="D34" s="27">
        <f t="shared" ref="D34" si="46">IF(ISBLANK(C34),"",ABS(C34-C33))</f>
        <v>1.7000000000000015E-2</v>
      </c>
      <c r="E34" s="25">
        <f t="shared" ref="E34" si="47">IF(ISBLANK(L34),E33,M34)</f>
        <v>6.0000000000000235E-3</v>
      </c>
      <c r="F34" s="25">
        <f t="shared" ref="F34" si="48">IF(ISBLANK(L34),F33,N34)</f>
        <v>0.89683333333333304</v>
      </c>
      <c r="G34" s="25">
        <f t="shared" ref="G34" si="49">IF(ISBLANK(L34),G33,O34)</f>
        <v>0.91279078014184378</v>
      </c>
      <c r="H34" s="25">
        <f t="shared" ref="H34" si="50">IF(ISBLANK(L34),H33,P34)</f>
        <v>0.88087588652482229</v>
      </c>
      <c r="I34" s="1" t="str">
        <f t="shared" ref="I34" si="51">IF(C34&gt;G34,"Above UCL",IF(C34&lt;H34,"Below LCL",""))</f>
        <v/>
      </c>
      <c r="J34" s="1" t="str">
        <f t="shared" ref="J34" si="52">IF(C34&gt;F34,"Above Mean", IF(C34&lt;F34,"Below Mean",""))</f>
        <v>Above Mean</v>
      </c>
      <c r="K34" s="1" t="str">
        <f t="shared" ref="K34" si="53">IF(ISBLANK(C34),"",IF(C34&gt;C33,"Up",IF(C34=C33,"","Down")))</f>
        <v>Up</v>
      </c>
      <c r="L34" s="1"/>
      <c r="M34" s="25" t="e">
        <f t="shared" si="19"/>
        <v>#N/A</v>
      </c>
      <c r="N34" s="25" t="e">
        <f t="shared" si="20"/>
        <v>#N/A</v>
      </c>
      <c r="O34" s="1" t="e">
        <f t="shared" ref="O34" si="54">IF(ISBLANK(L34)=TRUE,NA(),(N34+(3*M34/1.128)))</f>
        <v>#N/A</v>
      </c>
      <c r="P34" s="1" t="e">
        <f t="shared" ref="P34" si="55">IF(ISBLANK(L34)=TRUE,NA(),MAX(N34-(3*M34/1.128),0))</f>
        <v>#N/A</v>
      </c>
    </row>
    <row r="35" spans="2:16" x14ac:dyDescent="0.35">
      <c r="B35" s="17">
        <v>44256</v>
      </c>
      <c r="C35" s="28">
        <f>'DQMI Data'!B33</f>
        <v>0.89800000000000002</v>
      </c>
      <c r="D35" s="27">
        <f t="shared" ref="D35" si="56">IF(ISBLANK(C35),"",ABS(C35-C34))</f>
        <v>9.000000000000008E-3</v>
      </c>
      <c r="E35" s="25">
        <f t="shared" ref="E35" si="57">IF(ISBLANK(L35),E34,M35)</f>
        <v>6.0000000000000235E-3</v>
      </c>
      <c r="F35" s="25">
        <f t="shared" ref="F35" si="58">IF(ISBLANK(L35),F34,N35)</f>
        <v>0.89683333333333304</v>
      </c>
      <c r="G35" s="25">
        <f t="shared" ref="G35" si="59">IF(ISBLANK(L35),G34,O35)</f>
        <v>0.91279078014184378</v>
      </c>
      <c r="H35" s="25">
        <f t="shared" ref="H35" si="60">IF(ISBLANK(L35),H34,P35)</f>
        <v>0.88087588652482229</v>
      </c>
      <c r="I35" s="1" t="str">
        <f t="shared" ref="I35" si="61">IF(C35&gt;G35,"Above UCL",IF(C35&lt;H35,"Below LCL",""))</f>
        <v/>
      </c>
      <c r="J35" s="1" t="str">
        <f t="shared" ref="J35" si="62">IF(C35&gt;F35,"Above Mean", IF(C35&lt;F35,"Below Mean",""))</f>
        <v>Above Mean</v>
      </c>
      <c r="K35" s="1" t="str">
        <f t="shared" ref="K35" si="63">IF(ISBLANK(C35),"",IF(C35&gt;C34,"Up",IF(C35=C34,"","Down")))</f>
        <v>Down</v>
      </c>
      <c r="L35" s="1"/>
      <c r="M35" s="25" t="e">
        <f t="shared" si="19"/>
        <v>#N/A</v>
      </c>
      <c r="N35" s="25" t="e">
        <f t="shared" si="20"/>
        <v>#N/A</v>
      </c>
      <c r="O35" s="1" t="e">
        <f t="shared" ref="O35" si="64">IF(ISBLANK(L35)=TRUE,NA(),(N35+(3*M35/1.128)))</f>
        <v>#N/A</v>
      </c>
      <c r="P35" s="1" t="e">
        <f t="shared" ref="P35" si="65">IF(ISBLANK(L35)=TRUE,NA(),MAX(N35-(3*M35/1.128),0))</f>
        <v>#N/A</v>
      </c>
    </row>
    <row r="36" spans="2:16" x14ac:dyDescent="0.35">
      <c r="B36" s="17">
        <v>44287</v>
      </c>
      <c r="C36" s="28">
        <f>'DQMI Data'!B34</f>
        <v>0.89800000000000002</v>
      </c>
      <c r="D36" s="27">
        <f t="shared" ref="D36:D37" si="66">IF(ISBLANK(C36),"",ABS(C36-C35))</f>
        <v>0</v>
      </c>
      <c r="E36" s="25">
        <f t="shared" ref="E36:E37" si="67">IF(ISBLANK(L36),E35,M36)</f>
        <v>6.0000000000000235E-3</v>
      </c>
      <c r="F36" s="25">
        <f t="shared" ref="F36:F37" si="68">IF(ISBLANK(L36),F35,N36)</f>
        <v>0.89683333333333304</v>
      </c>
      <c r="G36" s="25">
        <f t="shared" ref="G36:G37" si="69">IF(ISBLANK(L36),G35,O36)</f>
        <v>0.91279078014184378</v>
      </c>
      <c r="H36" s="25">
        <f t="shared" ref="H36:H37" si="70">IF(ISBLANK(L36),H35,P36)</f>
        <v>0.88087588652482229</v>
      </c>
      <c r="I36" s="1" t="str">
        <f t="shared" ref="I36:I37" si="71">IF(C36&gt;G36,"Above UCL",IF(C36&lt;H36,"Below LCL",""))</f>
        <v/>
      </c>
      <c r="J36" s="1" t="str">
        <f t="shared" ref="J36:J37" si="72">IF(C36&gt;F36,"Above Mean", IF(C36&lt;F36,"Below Mean",""))</f>
        <v>Above Mean</v>
      </c>
      <c r="K36" s="1" t="str">
        <f t="shared" ref="K36:K37" si="73">IF(ISBLANK(C36),"",IF(C36&gt;C35,"Up",IF(C36=C35,"","Down")))</f>
        <v/>
      </c>
      <c r="L36" s="1"/>
      <c r="M36" s="25" t="e">
        <f t="shared" ref="M36:M37" si="74">IF($C$3=12,IF(ISBLANK(L36)=TRUE,NA(),AVERAGE(D36:D46)),IF($C$3=24,IF(ISBLANK(L36)=TRUE,NA(),AVERAGE(D36:D58))))</f>
        <v>#N/A</v>
      </c>
      <c r="N36" s="25" t="e">
        <f t="shared" ref="N36:N37" si="75">IF($C$3=12,IF(ISBLANK(L36)=TRUE,NA(),AVERAGE(C36:C46)),IF($C$3=24,IF(ISBLANK(L36)=TRUE,NA(),AVERAGE(C36:C58))))</f>
        <v>#N/A</v>
      </c>
      <c r="O36" s="1" t="e">
        <f t="shared" ref="O36:O37" si="76">IF(ISBLANK(L36)=TRUE,NA(),(N36+(3*M36/1.128)))</f>
        <v>#N/A</v>
      </c>
      <c r="P36" s="1" t="e">
        <f t="shared" ref="P36:P37" si="77">IF(ISBLANK(L36)=TRUE,NA(),MAX(N36-(3*M36/1.128),0))</f>
        <v>#N/A</v>
      </c>
    </row>
    <row r="37" spans="2:16" x14ac:dyDescent="0.35">
      <c r="B37" s="17">
        <v>44317</v>
      </c>
      <c r="C37" s="28">
        <f>'DQMI Data'!B35</f>
        <v>0.91400000000000003</v>
      </c>
      <c r="D37" s="27">
        <f t="shared" si="66"/>
        <v>1.6000000000000014E-2</v>
      </c>
      <c r="E37" s="25">
        <f t="shared" si="67"/>
        <v>6.0000000000000235E-3</v>
      </c>
      <c r="F37" s="25">
        <f t="shared" si="68"/>
        <v>0.89683333333333304</v>
      </c>
      <c r="G37" s="25">
        <f t="shared" si="69"/>
        <v>0.91279078014184378</v>
      </c>
      <c r="H37" s="25">
        <f t="shared" si="70"/>
        <v>0.88087588652482229</v>
      </c>
      <c r="I37" s="1" t="str">
        <f t="shared" si="71"/>
        <v>Above UCL</v>
      </c>
      <c r="J37" s="1" t="str">
        <f t="shared" si="72"/>
        <v>Above Mean</v>
      </c>
      <c r="K37" s="1" t="str">
        <f t="shared" si="73"/>
        <v>Up</v>
      </c>
      <c r="L37" s="1"/>
      <c r="M37" s="25" t="e">
        <f t="shared" si="74"/>
        <v>#N/A</v>
      </c>
      <c r="N37" s="25" t="e">
        <f t="shared" si="75"/>
        <v>#N/A</v>
      </c>
      <c r="O37" s="1" t="e">
        <f t="shared" si="76"/>
        <v>#N/A</v>
      </c>
      <c r="P37" s="1" t="e">
        <f t="shared" si="77"/>
        <v>#N/A</v>
      </c>
    </row>
    <row r="38" spans="2:16" x14ac:dyDescent="0.35">
      <c r="B38" s="17">
        <v>44348</v>
      </c>
      <c r="C38" s="28">
        <f>'DQMI Data'!B36</f>
        <v>0.91500000000000004</v>
      </c>
      <c r="D38" s="27">
        <f t="shared" ref="D38:D40" si="78">IF(ISBLANK(C38),"",ABS(C38-C37))</f>
        <v>1.0000000000000009E-3</v>
      </c>
      <c r="E38" s="25">
        <f t="shared" ref="E38:E40" si="79">IF(ISBLANK(L38),E37,M38)</f>
        <v>6.0000000000000235E-3</v>
      </c>
      <c r="F38" s="25">
        <f t="shared" ref="F38:F40" si="80">IF(ISBLANK(L38),F37,N38)</f>
        <v>0.89683333333333304</v>
      </c>
      <c r="G38" s="25">
        <f t="shared" ref="G38:G40" si="81">IF(ISBLANK(L38),G37,O38)</f>
        <v>0.91279078014184378</v>
      </c>
      <c r="H38" s="25">
        <f t="shared" ref="H38:H40" si="82">IF(ISBLANK(L38),H37,P38)</f>
        <v>0.88087588652482229</v>
      </c>
      <c r="I38" s="1" t="str">
        <f t="shared" ref="I38:I40" si="83">IF(C38&gt;G38,"Above UCL",IF(C38&lt;H38,"Below LCL",""))</f>
        <v>Above UCL</v>
      </c>
      <c r="J38" s="1" t="str">
        <f t="shared" ref="J38:J40" si="84">IF(C38&gt;F38,"Above Mean", IF(C38&lt;F38,"Below Mean",""))</f>
        <v>Above Mean</v>
      </c>
      <c r="K38" s="1" t="str">
        <f t="shared" ref="K38:K40" si="85">IF(ISBLANK(C38),"",IF(C38&gt;C37,"Up",IF(C38=C37,"","Down")))</f>
        <v>Up</v>
      </c>
      <c r="L38" s="1"/>
      <c r="M38" s="25" t="e">
        <f t="shared" ref="M38:M40" si="86">IF($C$3=12,IF(ISBLANK(L38)=TRUE,NA(),AVERAGE(D38:D48)),IF($C$3=24,IF(ISBLANK(L38)=TRUE,NA(),AVERAGE(D38:D60))))</f>
        <v>#N/A</v>
      </c>
      <c r="N38" s="25" t="e">
        <f t="shared" ref="N38:N40" si="87">IF($C$3=12,IF(ISBLANK(L38)=TRUE,NA(),AVERAGE(C38:C48)),IF($C$3=24,IF(ISBLANK(L38)=TRUE,NA(),AVERAGE(C38:C60))))</f>
        <v>#N/A</v>
      </c>
      <c r="O38" s="1" t="e">
        <f t="shared" ref="O38:O40" si="88">IF(ISBLANK(L38)=TRUE,NA(),(N38+(3*M38/1.128)))</f>
        <v>#N/A</v>
      </c>
      <c r="P38" s="1" t="e">
        <f t="shared" ref="P38:P40" si="89">IF(ISBLANK(L38)=TRUE,NA(),MAX(N38-(3*M38/1.128),0))</f>
        <v>#N/A</v>
      </c>
    </row>
    <row r="39" spans="2:16" x14ac:dyDescent="0.35">
      <c r="B39" s="17">
        <v>44378</v>
      </c>
      <c r="C39" s="28">
        <f>'DQMI Data'!B37</f>
        <v>0.91500000000000004</v>
      </c>
      <c r="D39" s="27">
        <f t="shared" si="78"/>
        <v>0</v>
      </c>
      <c r="E39" s="25">
        <f t="shared" si="79"/>
        <v>6.0000000000000235E-3</v>
      </c>
      <c r="F39" s="25">
        <f t="shared" si="80"/>
        <v>0.89683333333333304</v>
      </c>
      <c r="G39" s="25">
        <f t="shared" si="81"/>
        <v>0.91279078014184378</v>
      </c>
      <c r="H39" s="25">
        <f t="shared" si="82"/>
        <v>0.88087588652482229</v>
      </c>
      <c r="I39" s="1" t="str">
        <f t="shared" si="83"/>
        <v>Above UCL</v>
      </c>
      <c r="J39" s="1" t="str">
        <f t="shared" si="84"/>
        <v>Above Mean</v>
      </c>
      <c r="K39" s="1" t="str">
        <f t="shared" si="85"/>
        <v/>
      </c>
      <c r="L39" s="1"/>
      <c r="M39" s="25" t="e">
        <f t="shared" si="86"/>
        <v>#N/A</v>
      </c>
      <c r="N39" s="25" t="e">
        <f t="shared" si="87"/>
        <v>#N/A</v>
      </c>
      <c r="O39" s="1" t="e">
        <f t="shared" si="88"/>
        <v>#N/A</v>
      </c>
      <c r="P39" s="1" t="e">
        <f t="shared" si="89"/>
        <v>#N/A</v>
      </c>
    </row>
    <row r="40" spans="2:16" x14ac:dyDescent="0.35">
      <c r="B40" s="17">
        <v>44409</v>
      </c>
      <c r="C40" s="28">
        <f>'DQMI Data'!B38</f>
        <v>0.91500000000000004</v>
      </c>
      <c r="D40" s="27">
        <f t="shared" si="78"/>
        <v>0</v>
      </c>
      <c r="E40" s="25">
        <f t="shared" si="79"/>
        <v>6.0000000000000235E-3</v>
      </c>
      <c r="F40" s="25">
        <f t="shared" si="80"/>
        <v>0.89683333333333304</v>
      </c>
      <c r="G40" s="25">
        <f t="shared" si="81"/>
        <v>0.91279078014184378</v>
      </c>
      <c r="H40" s="25">
        <f t="shared" si="82"/>
        <v>0.88087588652482229</v>
      </c>
      <c r="I40" s="1" t="str">
        <f t="shared" si="83"/>
        <v>Above UCL</v>
      </c>
      <c r="J40" s="1" t="str">
        <f t="shared" si="84"/>
        <v>Above Mean</v>
      </c>
      <c r="K40" s="1" t="str">
        <f t="shared" si="85"/>
        <v/>
      </c>
      <c r="L40" s="1"/>
      <c r="M40" s="25" t="e">
        <f t="shared" si="86"/>
        <v>#N/A</v>
      </c>
      <c r="N40" s="25" t="e">
        <f t="shared" si="87"/>
        <v>#N/A</v>
      </c>
      <c r="O40" s="1" t="e">
        <f t="shared" si="88"/>
        <v>#N/A</v>
      </c>
      <c r="P40" s="1" t="e">
        <f t="shared" si="89"/>
        <v>#N/A</v>
      </c>
    </row>
  </sheetData>
  <mergeCells count="1">
    <mergeCell ref="I16:P16"/>
  </mergeCells>
  <conditionalFormatting sqref="J1:J15 J18:J1048576">
    <cfRule type="containsText" dxfId="4" priority="4" operator="containsText" text="Above Mean">
      <formula>NOT(ISERROR(SEARCH("Above Mean",J1)))</formula>
    </cfRule>
    <cfRule type="containsText" dxfId="3" priority="5" operator="containsText" text="Below Mean">
      <formula>NOT(ISERROR(SEARCH("Below Mean",J1)))</formula>
    </cfRule>
  </conditionalFormatting>
  <conditionalFormatting sqref="K1:K15 K18:K1048576">
    <cfRule type="containsText" dxfId="2" priority="2" operator="containsText" text="Up">
      <formula>NOT(ISERROR(SEARCH("Up",K1)))</formula>
    </cfRule>
    <cfRule type="containsText" dxfId="1" priority="3" operator="containsText" text="Down">
      <formula>NOT(ISERROR(SEARCH("Down",K1)))</formula>
    </cfRule>
  </conditionalFormatting>
  <conditionalFormatting sqref="I1:I15 I18:I1048576">
    <cfRule type="notContainsBlanks" dxfId="0" priority="1">
      <formula>LEN(TRIM(I1))&gt;0</formula>
    </cfRule>
  </conditionalFormatting>
  <dataValidations count="1">
    <dataValidation type="list" allowBlank="1" showInputMessage="1" showErrorMessage="1" sqref="L18:L40" xr:uid="{00000000-0002-0000-0200-000000000000}">
      <formula1>$J$7:$J$8</formula1>
    </dataValidation>
  </dataValidation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07"/>
  <sheetViews>
    <sheetView showGridLines="0" tabSelected="1" zoomScale="80" zoomScaleNormal="80" workbookViewId="0">
      <selection activeCell="S97" sqref="S97:AC97"/>
    </sheetView>
  </sheetViews>
  <sheetFormatPr defaultColWidth="0" defaultRowHeight="14.5" zeroHeight="1" x14ac:dyDescent="0.35"/>
  <cols>
    <col min="1" max="1" width="3.6328125" customWidth="1"/>
    <col min="2" max="4" width="8.7265625" customWidth="1"/>
    <col min="5" max="5" width="11.54296875" customWidth="1"/>
    <col min="6" max="9" width="8.7265625" customWidth="1"/>
    <col min="10" max="12" width="8.7265625" style="21" customWidth="1"/>
    <col min="13" max="13" width="8.6328125" customWidth="1"/>
    <col min="14" max="14" width="11.90625" customWidth="1"/>
    <col min="15" max="15" width="9.6328125" customWidth="1"/>
    <col min="16" max="16" width="3.26953125" customWidth="1"/>
    <col min="17" max="17" width="4.6328125" customWidth="1"/>
    <col min="18" max="18" width="8.7265625" customWidth="1"/>
    <col min="19" max="19" width="16.08984375" bestFit="1" customWidth="1"/>
    <col min="20" max="22" width="8.7265625" customWidth="1"/>
    <col min="23" max="23" width="3.6328125" customWidth="1"/>
    <col min="24" max="24" width="4.6328125" customWidth="1"/>
    <col min="25" max="30" width="8.7265625" customWidth="1"/>
    <col min="31" max="16384" width="8.7265625" hidden="1"/>
  </cols>
  <sheetData>
    <row r="1" spans="2:29" x14ac:dyDescent="0.35"/>
    <row r="2" spans="2:29" ht="18.5" x14ac:dyDescent="0.45">
      <c r="B2" s="43" t="s">
        <v>69</v>
      </c>
      <c r="C2" s="43"/>
      <c r="D2" s="43"/>
      <c r="E2" s="43"/>
      <c r="F2" s="43"/>
      <c r="G2" s="43"/>
      <c r="H2" s="43"/>
      <c r="I2" s="43"/>
      <c r="J2" s="43"/>
      <c r="K2" s="43"/>
      <c r="L2" s="43"/>
      <c r="M2" s="43"/>
      <c r="N2" s="43"/>
      <c r="O2" s="43"/>
      <c r="Q2" s="46" t="s">
        <v>61</v>
      </c>
      <c r="R2" s="46"/>
      <c r="S2" s="46"/>
      <c r="T2" s="46"/>
      <c r="U2" s="46"/>
      <c r="V2" s="46"/>
      <c r="W2" s="46"/>
      <c r="X2" s="46"/>
      <c r="Y2" s="46"/>
      <c r="Z2" s="46"/>
      <c r="AA2" s="46"/>
      <c r="AB2" s="46"/>
      <c r="AC2" s="46"/>
    </row>
    <row r="3" spans="2:29" x14ac:dyDescent="0.35"/>
    <row r="4" spans="2:29" ht="14.5" customHeight="1" x14ac:dyDescent="0.35">
      <c r="R4" s="47" t="s">
        <v>94</v>
      </c>
      <c r="S4" s="47"/>
      <c r="T4" s="47"/>
      <c r="U4" s="47"/>
      <c r="V4" s="47"/>
      <c r="W4" s="47"/>
      <c r="X4" s="47"/>
      <c r="Y4" s="47"/>
      <c r="Z4" s="47"/>
      <c r="AA4" s="47"/>
      <c r="AB4" s="47"/>
      <c r="AC4" s="47"/>
    </row>
    <row r="5" spans="2:29" x14ac:dyDescent="0.35">
      <c r="R5" s="47"/>
      <c r="S5" s="47"/>
      <c r="T5" s="47"/>
      <c r="U5" s="47"/>
      <c r="V5" s="47"/>
      <c r="W5" s="47"/>
      <c r="X5" s="47"/>
      <c r="Y5" s="47"/>
      <c r="Z5" s="47"/>
      <c r="AA5" s="47"/>
      <c r="AB5" s="47"/>
      <c r="AC5" s="47"/>
    </row>
    <row r="6" spans="2:29" s="21" customFormat="1" x14ac:dyDescent="0.35">
      <c r="R6" s="47"/>
      <c r="S6" s="47"/>
      <c r="T6" s="47"/>
      <c r="U6" s="47"/>
      <c r="V6" s="47"/>
      <c r="W6" s="47"/>
      <c r="X6" s="47"/>
      <c r="Y6" s="47"/>
      <c r="Z6" s="47"/>
      <c r="AA6" s="47"/>
      <c r="AB6" s="47"/>
      <c r="AC6" s="47"/>
    </row>
    <row r="7" spans="2:29" x14ac:dyDescent="0.35">
      <c r="R7" s="21"/>
      <c r="S7" s="21"/>
      <c r="T7" s="21"/>
      <c r="U7" s="21"/>
      <c r="V7" s="21"/>
    </row>
    <row r="8" spans="2:29" ht="14.5" customHeight="1" x14ac:dyDescent="0.35">
      <c r="R8" s="47" t="s">
        <v>73</v>
      </c>
      <c r="S8" s="47"/>
      <c r="T8" s="47"/>
      <c r="U8" s="47"/>
      <c r="V8" s="47"/>
      <c r="W8" s="47"/>
      <c r="X8" s="47"/>
      <c r="Y8" s="47"/>
      <c r="Z8" s="47"/>
      <c r="AA8" s="47"/>
      <c r="AB8" s="47"/>
      <c r="AC8" s="47"/>
    </row>
    <row r="9" spans="2:29" x14ac:dyDescent="0.35">
      <c r="R9" s="47"/>
      <c r="S9" s="47"/>
      <c r="T9" s="47"/>
      <c r="U9" s="47"/>
      <c r="V9" s="47"/>
      <c r="W9" s="47"/>
      <c r="X9" s="47"/>
      <c r="Y9" s="47"/>
      <c r="Z9" s="47"/>
      <c r="AA9" s="47"/>
      <c r="AB9" s="47"/>
      <c r="AC9" s="47"/>
    </row>
    <row r="10" spans="2:29" x14ac:dyDescent="0.35">
      <c r="R10" s="47"/>
      <c r="S10" s="47"/>
      <c r="T10" s="47"/>
      <c r="U10" s="47"/>
      <c r="V10" s="47"/>
      <c r="W10" s="47"/>
      <c r="X10" s="47"/>
      <c r="Y10" s="47"/>
      <c r="Z10" s="47"/>
      <c r="AA10" s="47"/>
      <c r="AB10" s="47"/>
      <c r="AC10" s="47"/>
    </row>
    <row r="11" spans="2:29" x14ac:dyDescent="0.35">
      <c r="R11" s="24"/>
      <c r="S11" s="24"/>
      <c r="T11" s="24"/>
      <c r="U11" s="24"/>
      <c r="V11" s="24"/>
    </row>
    <row r="12" spans="2:29" x14ac:dyDescent="0.35">
      <c r="R12" s="45" t="s">
        <v>95</v>
      </c>
      <c r="S12" s="45"/>
      <c r="T12" s="45"/>
      <c r="U12" s="45"/>
      <c r="V12" s="45"/>
      <c r="W12" s="45"/>
      <c r="X12" s="45"/>
      <c r="Y12" s="45"/>
      <c r="Z12" s="45"/>
      <c r="AA12" s="45"/>
      <c r="AB12" s="45"/>
      <c r="AC12" s="45"/>
    </row>
    <row r="13" spans="2:29" ht="14.5" customHeight="1" x14ac:dyDescent="0.35">
      <c r="R13" s="45"/>
      <c r="S13" s="45"/>
      <c r="T13" s="45"/>
      <c r="U13" s="45"/>
      <c r="V13" s="45"/>
      <c r="W13" s="45"/>
      <c r="X13" s="45"/>
      <c r="Y13" s="45"/>
      <c r="Z13" s="45"/>
      <c r="AA13" s="45"/>
      <c r="AB13" s="45"/>
      <c r="AC13" s="45"/>
    </row>
    <row r="14" spans="2:29" x14ac:dyDescent="0.35">
      <c r="R14" s="6"/>
      <c r="S14" s="6"/>
      <c r="T14" s="6"/>
      <c r="U14" s="6"/>
      <c r="V14" s="6"/>
    </row>
    <row r="15" spans="2:29" ht="14.5" customHeight="1" x14ac:dyDescent="0.35">
      <c r="R15" s="47" t="s">
        <v>97</v>
      </c>
      <c r="S15" s="47"/>
      <c r="T15" s="47"/>
      <c r="U15" s="47"/>
      <c r="V15" s="47"/>
      <c r="W15" s="47"/>
      <c r="X15" s="47"/>
      <c r="Y15" s="47"/>
      <c r="Z15" s="47"/>
      <c r="AA15" s="47"/>
      <c r="AB15" s="47"/>
      <c r="AC15" s="47"/>
    </row>
    <row r="16" spans="2:29" x14ac:dyDescent="0.35">
      <c r="R16" s="47"/>
      <c r="S16" s="47"/>
      <c r="T16" s="47"/>
      <c r="U16" s="47"/>
      <c r="V16" s="47"/>
      <c r="W16" s="47"/>
      <c r="X16" s="47"/>
      <c r="Y16" s="47"/>
      <c r="Z16" s="47"/>
      <c r="AA16" s="47"/>
      <c r="AB16" s="47"/>
      <c r="AC16" s="47"/>
    </row>
    <row r="17" spans="2:29" s="21" customFormat="1" x14ac:dyDescent="0.35">
      <c r="R17" s="47"/>
      <c r="S17" s="47"/>
      <c r="T17" s="47"/>
      <c r="U17" s="47"/>
      <c r="V17" s="47"/>
      <c r="W17" s="47"/>
      <c r="X17" s="47"/>
      <c r="Y17" s="47"/>
      <c r="Z17" s="47"/>
      <c r="AA17" s="47"/>
      <c r="AB17" s="47"/>
      <c r="AC17" s="47"/>
    </row>
    <row r="18" spans="2:29" x14ac:dyDescent="0.35">
      <c r="R18" s="47"/>
      <c r="S18" s="47"/>
      <c r="T18" s="47"/>
      <c r="U18" s="47"/>
      <c r="V18" s="47"/>
      <c r="W18" s="47"/>
      <c r="X18" s="47"/>
      <c r="Y18" s="47"/>
      <c r="Z18" s="47"/>
      <c r="AA18" s="47"/>
      <c r="AB18" s="47"/>
      <c r="AC18" s="47"/>
    </row>
    <row r="19" spans="2:29" s="21" customFormat="1" x14ac:dyDescent="0.35">
      <c r="R19" s="37"/>
      <c r="S19" s="37"/>
      <c r="T19" s="37"/>
      <c r="U19" s="37"/>
      <c r="V19" s="37"/>
      <c r="W19" s="37"/>
      <c r="X19" s="37"/>
      <c r="Y19" s="37"/>
      <c r="Z19" s="37"/>
      <c r="AA19" s="37"/>
      <c r="AB19" s="37"/>
      <c r="AC19" s="37"/>
    </row>
    <row r="20" spans="2:29" s="21" customFormat="1" ht="14.5" customHeight="1" x14ac:dyDescent="0.35">
      <c r="R20" s="47" t="s">
        <v>96</v>
      </c>
      <c r="S20" s="47"/>
      <c r="T20" s="47"/>
      <c r="U20" s="47"/>
      <c r="V20" s="47"/>
      <c r="W20" s="47"/>
      <c r="X20" s="47"/>
      <c r="Y20" s="47"/>
      <c r="Z20" s="47"/>
      <c r="AA20" s="47"/>
      <c r="AB20" s="47"/>
      <c r="AC20" s="47"/>
    </row>
    <row r="21" spans="2:29" x14ac:dyDescent="0.35">
      <c r="R21" s="47"/>
      <c r="S21" s="47"/>
      <c r="T21" s="47"/>
      <c r="U21" s="47"/>
      <c r="V21" s="47"/>
      <c r="W21" s="47"/>
      <c r="X21" s="47"/>
      <c r="Y21" s="47"/>
      <c r="Z21" s="47"/>
      <c r="AA21" s="47"/>
      <c r="AB21" s="47"/>
      <c r="AC21" s="47"/>
    </row>
    <row r="22" spans="2:29" s="21" customFormat="1" x14ac:dyDescent="0.35">
      <c r="R22" s="37"/>
      <c r="S22" s="37"/>
      <c r="T22" s="37"/>
      <c r="U22" s="37"/>
      <c r="V22" s="37"/>
      <c r="W22" s="37"/>
      <c r="X22" s="37"/>
      <c r="Y22" s="37"/>
      <c r="Z22" s="37"/>
      <c r="AA22" s="37"/>
      <c r="AB22" s="37"/>
      <c r="AC22" s="37"/>
    </row>
    <row r="23" spans="2:29" x14ac:dyDescent="0.35"/>
    <row r="24" spans="2:29" ht="20" customHeight="1" x14ac:dyDescent="0.45">
      <c r="B24" s="44" t="s">
        <v>62</v>
      </c>
      <c r="C24" s="44"/>
      <c r="D24" s="44"/>
      <c r="E24" s="44"/>
      <c r="F24" s="44"/>
      <c r="G24" s="44"/>
      <c r="H24" s="44"/>
      <c r="I24" s="44"/>
      <c r="J24" s="44"/>
      <c r="K24" s="44"/>
      <c r="L24" s="44"/>
      <c r="M24" s="44"/>
      <c r="N24" s="44"/>
      <c r="O24" s="44"/>
    </row>
    <row r="25" spans="2:29" x14ac:dyDescent="0.35"/>
    <row r="26" spans="2:29" ht="15.5" x14ac:dyDescent="0.35">
      <c r="Q26" s="46" t="s">
        <v>61</v>
      </c>
      <c r="R26" s="46"/>
      <c r="S26" s="46"/>
      <c r="T26" s="46"/>
      <c r="U26" s="46"/>
      <c r="V26" s="46"/>
      <c r="W26" s="46"/>
      <c r="X26" s="46"/>
      <c r="Y26" s="46"/>
      <c r="Z26" s="46"/>
      <c r="AA26" s="46"/>
      <c r="AB26" s="46"/>
      <c r="AC26" s="46"/>
    </row>
    <row r="27" spans="2:29" x14ac:dyDescent="0.35"/>
    <row r="28" spans="2:29" ht="18.5" customHeight="1" x14ac:dyDescent="0.45">
      <c r="Q28" s="20" t="s">
        <v>63</v>
      </c>
      <c r="R28" s="45" t="s">
        <v>88</v>
      </c>
      <c r="S28" s="45"/>
      <c r="T28" s="45"/>
      <c r="U28" s="45"/>
      <c r="V28" s="45"/>
      <c r="X28" s="20" t="s">
        <v>64</v>
      </c>
      <c r="Y28" s="45" t="s">
        <v>89</v>
      </c>
      <c r="Z28" s="45"/>
      <c r="AA28" s="45"/>
      <c r="AB28" s="45"/>
      <c r="AC28" s="45"/>
    </row>
    <row r="29" spans="2:29" x14ac:dyDescent="0.35">
      <c r="R29" s="45"/>
      <c r="S29" s="45"/>
      <c r="T29" s="45"/>
      <c r="U29" s="45"/>
      <c r="V29" s="45"/>
      <c r="Y29" s="45"/>
      <c r="Z29" s="45"/>
      <c r="AA29" s="45"/>
      <c r="AB29" s="45"/>
      <c r="AC29" s="45"/>
    </row>
    <row r="30" spans="2:29" x14ac:dyDescent="0.35">
      <c r="R30" s="45"/>
      <c r="S30" s="45"/>
      <c r="T30" s="45"/>
      <c r="U30" s="45"/>
      <c r="V30" s="45"/>
      <c r="Y30" s="45"/>
      <c r="Z30" s="45"/>
      <c r="AA30" s="45"/>
      <c r="AB30" s="45"/>
      <c r="AC30" s="45"/>
    </row>
    <row r="31" spans="2:29" x14ac:dyDescent="0.35">
      <c r="R31" s="45"/>
      <c r="S31" s="45"/>
      <c r="T31" s="45"/>
      <c r="U31" s="45"/>
      <c r="V31" s="45"/>
      <c r="Y31" s="45"/>
      <c r="Z31" s="45"/>
      <c r="AA31" s="45"/>
      <c r="AB31" s="45"/>
      <c r="AC31" s="45"/>
    </row>
    <row r="32" spans="2:29" x14ac:dyDescent="0.35">
      <c r="R32" s="45"/>
      <c r="S32" s="45"/>
      <c r="T32" s="45"/>
      <c r="U32" s="45"/>
      <c r="V32" s="45"/>
      <c r="Y32" s="45"/>
      <c r="Z32" s="45"/>
      <c r="AA32" s="45"/>
      <c r="AB32" s="45"/>
      <c r="AC32" s="45"/>
    </row>
    <row r="33" spans="17:29" x14ac:dyDescent="0.35">
      <c r="R33" s="45"/>
      <c r="S33" s="45"/>
      <c r="T33" s="45"/>
      <c r="U33" s="45"/>
      <c r="V33" s="45"/>
      <c r="Y33" s="45"/>
      <c r="Z33" s="45"/>
      <c r="AA33" s="45"/>
      <c r="AB33" s="45"/>
      <c r="AC33" s="45"/>
    </row>
    <row r="34" spans="17:29" x14ac:dyDescent="0.35">
      <c r="R34" s="45"/>
      <c r="S34" s="45"/>
      <c r="T34" s="45"/>
      <c r="U34" s="45"/>
      <c r="V34" s="45"/>
      <c r="Y34" s="45"/>
      <c r="Z34" s="45"/>
      <c r="AA34" s="45"/>
      <c r="AB34" s="45"/>
      <c r="AC34" s="45"/>
    </row>
    <row r="35" spans="17:29" x14ac:dyDescent="0.35">
      <c r="R35" s="45"/>
      <c r="S35" s="45"/>
      <c r="T35" s="45"/>
      <c r="U35" s="45"/>
      <c r="V35" s="45"/>
      <c r="Y35" s="45"/>
      <c r="Z35" s="45"/>
      <c r="AA35" s="45"/>
      <c r="AB35" s="45"/>
      <c r="AC35" s="45"/>
    </row>
    <row r="36" spans="17:29" ht="15" customHeight="1" x14ac:dyDescent="0.45">
      <c r="Q36" s="20"/>
      <c r="R36" s="45"/>
      <c r="S36" s="45"/>
      <c r="T36" s="45"/>
      <c r="U36" s="45"/>
      <c r="V36" s="45"/>
      <c r="Y36" s="45"/>
      <c r="Z36" s="45"/>
      <c r="AA36" s="45"/>
      <c r="AB36" s="45"/>
      <c r="AC36" s="45"/>
    </row>
    <row r="37" spans="17:29" ht="15" customHeight="1" x14ac:dyDescent="0.35">
      <c r="R37" s="45"/>
      <c r="S37" s="45"/>
      <c r="T37" s="45"/>
      <c r="U37" s="45"/>
      <c r="V37" s="45"/>
      <c r="Y37" s="45"/>
      <c r="Z37" s="45"/>
      <c r="AA37" s="45"/>
      <c r="AB37" s="45"/>
      <c r="AC37" s="45"/>
    </row>
    <row r="38" spans="17:29" ht="15" customHeight="1" x14ac:dyDescent="0.45">
      <c r="Q38" s="20"/>
      <c r="R38" s="6"/>
      <c r="S38" s="6"/>
      <c r="T38" s="6"/>
      <c r="U38" s="6"/>
      <c r="V38" s="6"/>
    </row>
    <row r="39" spans="17:29" ht="18.5" customHeight="1" x14ac:dyDescent="0.45">
      <c r="Q39" s="20" t="s">
        <v>65</v>
      </c>
      <c r="R39" s="45" t="s">
        <v>100</v>
      </c>
      <c r="S39" s="45"/>
      <c r="T39" s="45"/>
      <c r="U39" s="45"/>
      <c r="V39" s="45"/>
      <c r="X39" s="20" t="s">
        <v>66</v>
      </c>
      <c r="Y39" s="45" t="s">
        <v>90</v>
      </c>
      <c r="Z39" s="45"/>
      <c r="AA39" s="45"/>
      <c r="AB39" s="45"/>
      <c r="AC39" s="45"/>
    </row>
    <row r="40" spans="17:29" x14ac:dyDescent="0.35">
      <c r="R40" s="45"/>
      <c r="S40" s="45"/>
      <c r="T40" s="45"/>
      <c r="U40" s="45"/>
      <c r="V40" s="45"/>
      <c r="Y40" s="45"/>
      <c r="Z40" s="45"/>
      <c r="AA40" s="45"/>
      <c r="AB40" s="45"/>
      <c r="AC40" s="45"/>
    </row>
    <row r="41" spans="17:29" x14ac:dyDescent="0.35">
      <c r="R41" s="45"/>
      <c r="S41" s="45"/>
      <c r="T41" s="45"/>
      <c r="U41" s="45"/>
      <c r="V41" s="45"/>
      <c r="Y41" s="45"/>
      <c r="Z41" s="45"/>
      <c r="AA41" s="45"/>
      <c r="AB41" s="45"/>
      <c r="AC41" s="45"/>
    </row>
    <row r="42" spans="17:29" x14ac:dyDescent="0.35">
      <c r="R42" s="45"/>
      <c r="S42" s="45"/>
      <c r="T42" s="45"/>
      <c r="U42" s="45"/>
      <c r="V42" s="45"/>
      <c r="Y42" s="45"/>
      <c r="Z42" s="45"/>
      <c r="AA42" s="45"/>
      <c r="AB42" s="45"/>
      <c r="AC42" s="45"/>
    </row>
    <row r="43" spans="17:29" x14ac:dyDescent="0.35">
      <c r="R43" s="45"/>
      <c r="S43" s="45"/>
      <c r="T43" s="45"/>
      <c r="U43" s="45"/>
      <c r="V43" s="45"/>
      <c r="Y43" s="45"/>
      <c r="Z43" s="45"/>
      <c r="AA43" s="45"/>
      <c r="AB43" s="45"/>
      <c r="AC43" s="45"/>
    </row>
    <row r="44" spans="17:29" x14ac:dyDescent="0.35">
      <c r="R44" s="45"/>
      <c r="S44" s="45"/>
      <c r="T44" s="45"/>
      <c r="U44" s="45"/>
      <c r="V44" s="45"/>
      <c r="Y44" s="45"/>
      <c r="Z44" s="45"/>
      <c r="AA44" s="45"/>
      <c r="AB44" s="45"/>
      <c r="AC44" s="45"/>
    </row>
    <row r="45" spans="17:29" x14ac:dyDescent="0.35">
      <c r="R45" s="45"/>
      <c r="S45" s="45"/>
      <c r="T45" s="45"/>
      <c r="U45" s="45"/>
      <c r="V45" s="45"/>
      <c r="Y45" s="45"/>
      <c r="Z45" s="45"/>
      <c r="AA45" s="45"/>
      <c r="AB45" s="45"/>
      <c r="AC45" s="45"/>
    </row>
    <row r="46" spans="17:29" x14ac:dyDescent="0.35">
      <c r="R46" s="45"/>
      <c r="S46" s="45"/>
      <c r="T46" s="45"/>
      <c r="U46" s="45"/>
      <c r="V46" s="45"/>
      <c r="Y46" s="45"/>
      <c r="Z46" s="45"/>
      <c r="AA46" s="45"/>
      <c r="AB46" s="45"/>
      <c r="AC46" s="45"/>
    </row>
    <row r="47" spans="17:29" x14ac:dyDescent="0.35">
      <c r="R47" s="45"/>
      <c r="S47" s="45"/>
      <c r="T47" s="45"/>
      <c r="U47" s="45"/>
      <c r="V47" s="45"/>
      <c r="Y47" s="45"/>
      <c r="Z47" s="45"/>
      <c r="AA47" s="45"/>
      <c r="AB47" s="45"/>
      <c r="AC47" s="45"/>
    </row>
    <row r="48" spans="17:29" x14ac:dyDescent="0.35">
      <c r="R48" s="45"/>
      <c r="S48" s="45"/>
      <c r="T48" s="45"/>
      <c r="U48" s="45"/>
      <c r="V48" s="45"/>
      <c r="Y48" s="45"/>
      <c r="Z48" s="45"/>
      <c r="AA48" s="45"/>
      <c r="AB48" s="45"/>
      <c r="AC48" s="45"/>
    </row>
    <row r="49" spans="2:29" x14ac:dyDescent="0.35">
      <c r="R49" s="45"/>
      <c r="S49" s="45"/>
      <c r="T49" s="45"/>
      <c r="U49" s="45"/>
      <c r="V49" s="45"/>
      <c r="Y49" s="45"/>
      <c r="Z49" s="45"/>
      <c r="AA49" s="45"/>
      <c r="AB49" s="45"/>
      <c r="AC49" s="45"/>
    </row>
    <row r="50" spans="2:29" x14ac:dyDescent="0.35">
      <c r="R50" s="45"/>
      <c r="S50" s="45"/>
      <c r="T50" s="45"/>
      <c r="U50" s="45"/>
      <c r="V50" s="45"/>
      <c r="Y50" s="45"/>
      <c r="Z50" s="45"/>
      <c r="AA50" s="45"/>
      <c r="AB50" s="45"/>
      <c r="AC50" s="45"/>
    </row>
    <row r="51" spans="2:29" x14ac:dyDescent="0.35"/>
    <row r="52" spans="2:29" x14ac:dyDescent="0.35"/>
    <row r="53" spans="2:29" ht="18.5" x14ac:dyDescent="0.45">
      <c r="B53" s="44" t="s">
        <v>70</v>
      </c>
      <c r="C53" s="44"/>
      <c r="D53" s="44"/>
      <c r="E53" s="44"/>
      <c r="F53" s="44"/>
      <c r="G53" s="44"/>
      <c r="H53" s="44"/>
      <c r="I53" s="44"/>
      <c r="J53" s="44"/>
      <c r="K53" s="44"/>
      <c r="L53" s="44"/>
      <c r="M53" s="44"/>
      <c r="N53" s="44"/>
      <c r="O53" s="44"/>
    </row>
    <row r="54" spans="2:29" x14ac:dyDescent="0.35"/>
    <row r="55" spans="2:29" ht="15.5" x14ac:dyDescent="0.35">
      <c r="Q55" s="46" t="s">
        <v>61</v>
      </c>
      <c r="R55" s="46"/>
      <c r="S55" s="46"/>
      <c r="T55" s="46"/>
      <c r="U55" s="46"/>
      <c r="V55" s="46"/>
      <c r="W55" s="46"/>
      <c r="X55" s="46"/>
      <c r="Y55" s="46"/>
      <c r="Z55" s="46"/>
      <c r="AA55" s="46"/>
      <c r="AB55" s="46"/>
      <c r="AC55" s="46"/>
    </row>
    <row r="56" spans="2:29" x14ac:dyDescent="0.35"/>
    <row r="57" spans="2:29" ht="18.5" customHeight="1" x14ac:dyDescent="0.45">
      <c r="Q57" s="20" t="s">
        <v>63</v>
      </c>
      <c r="R57" s="45" t="s">
        <v>67</v>
      </c>
      <c r="S57" s="45"/>
      <c r="T57" s="45"/>
      <c r="U57" s="45"/>
      <c r="V57" s="45"/>
      <c r="W57" s="24"/>
      <c r="X57" s="20" t="s">
        <v>64</v>
      </c>
      <c r="Y57" s="45" t="s">
        <v>87</v>
      </c>
      <c r="Z57" s="45"/>
      <c r="AA57" s="45"/>
      <c r="AB57" s="45"/>
      <c r="AC57" s="45"/>
    </row>
    <row r="58" spans="2:29" x14ac:dyDescent="0.35">
      <c r="Q58" s="21"/>
      <c r="R58" s="45"/>
      <c r="S58" s="45"/>
      <c r="T58" s="45"/>
      <c r="U58" s="45"/>
      <c r="V58" s="45"/>
      <c r="W58" s="24"/>
      <c r="X58" s="21"/>
      <c r="Y58" s="45"/>
      <c r="Z58" s="45"/>
      <c r="AA58" s="45"/>
      <c r="AB58" s="45"/>
      <c r="AC58" s="45"/>
    </row>
    <row r="59" spans="2:29" x14ac:dyDescent="0.35">
      <c r="Q59" s="21"/>
      <c r="R59" s="45"/>
      <c r="S59" s="45"/>
      <c r="T59" s="45"/>
      <c r="U59" s="45"/>
      <c r="V59" s="45"/>
      <c r="W59" s="24"/>
      <c r="X59" s="21"/>
      <c r="Y59" s="45"/>
      <c r="Z59" s="45"/>
      <c r="AA59" s="45"/>
      <c r="AB59" s="45"/>
      <c r="AC59" s="45"/>
    </row>
    <row r="60" spans="2:29" x14ac:dyDescent="0.35">
      <c r="Q60" s="21"/>
      <c r="R60" s="45"/>
      <c r="S60" s="45"/>
      <c r="T60" s="45"/>
      <c r="U60" s="45"/>
      <c r="V60" s="45"/>
      <c r="W60" s="24"/>
      <c r="X60" s="21"/>
      <c r="Y60" s="45"/>
      <c r="Z60" s="45"/>
      <c r="AA60" s="45"/>
      <c r="AB60" s="45"/>
      <c r="AC60" s="45"/>
    </row>
    <row r="61" spans="2:29" x14ac:dyDescent="0.35">
      <c r="Q61" s="21"/>
      <c r="R61" s="45"/>
      <c r="S61" s="45"/>
      <c r="T61" s="45"/>
      <c r="U61" s="45"/>
      <c r="V61" s="45"/>
      <c r="W61" s="24"/>
      <c r="X61" s="21"/>
      <c r="Y61" s="45"/>
      <c r="Z61" s="45"/>
      <c r="AA61" s="45"/>
      <c r="AB61" s="45"/>
      <c r="AC61" s="45"/>
    </row>
    <row r="62" spans="2:29" x14ac:dyDescent="0.35">
      <c r="Q62" s="21"/>
      <c r="R62" s="45"/>
      <c r="S62" s="45"/>
      <c r="T62" s="45"/>
      <c r="U62" s="45"/>
      <c r="V62" s="45"/>
      <c r="W62" s="24"/>
      <c r="X62" s="21"/>
      <c r="Y62" s="45"/>
      <c r="Z62" s="45"/>
      <c r="AA62" s="45"/>
      <c r="AB62" s="45"/>
      <c r="AC62" s="45"/>
    </row>
    <row r="63" spans="2:29" x14ac:dyDescent="0.35">
      <c r="Q63" s="21"/>
      <c r="R63" s="45"/>
      <c r="S63" s="45"/>
      <c r="T63" s="45"/>
      <c r="U63" s="45"/>
      <c r="V63" s="45"/>
      <c r="W63" s="24"/>
      <c r="X63" s="21"/>
      <c r="Y63" s="45"/>
      <c r="Z63" s="45"/>
      <c r="AA63" s="45"/>
      <c r="AB63" s="45"/>
      <c r="AC63" s="45"/>
    </row>
    <row r="64" spans="2:29" x14ac:dyDescent="0.35">
      <c r="Q64" s="21"/>
      <c r="R64" s="45"/>
      <c r="S64" s="45"/>
      <c r="T64" s="45"/>
      <c r="U64" s="45"/>
      <c r="V64" s="45"/>
      <c r="W64" s="24"/>
      <c r="X64" s="21"/>
      <c r="Y64" s="45"/>
      <c r="Z64" s="45"/>
      <c r="AA64" s="45"/>
      <c r="AB64" s="45"/>
      <c r="AC64" s="45"/>
    </row>
    <row r="65" spans="17:29" ht="18.5" x14ac:dyDescent="0.45">
      <c r="Q65" s="20"/>
      <c r="R65" s="45"/>
      <c r="S65" s="45"/>
      <c r="T65" s="45"/>
      <c r="U65" s="45"/>
      <c r="V65" s="45"/>
      <c r="W65" s="24"/>
      <c r="X65" s="21"/>
      <c r="Y65" s="45"/>
      <c r="Z65" s="45"/>
      <c r="AA65" s="45"/>
      <c r="AB65" s="45"/>
      <c r="AC65" s="45"/>
    </row>
    <row r="66" spans="17:29" ht="20" customHeight="1" x14ac:dyDescent="0.35">
      <c r="Q66" s="21"/>
      <c r="R66" s="45"/>
      <c r="S66" s="45"/>
      <c r="T66" s="45"/>
      <c r="U66" s="45"/>
      <c r="V66" s="45"/>
      <c r="W66" s="24"/>
      <c r="X66" s="21"/>
      <c r="Y66" s="45"/>
      <c r="Z66" s="45"/>
      <c r="AA66" s="45"/>
      <c r="AB66" s="45"/>
      <c r="AC66" s="45"/>
    </row>
    <row r="67" spans="17:29" ht="18.5" x14ac:dyDescent="0.45">
      <c r="Q67" s="20"/>
      <c r="R67" s="6"/>
      <c r="S67" s="6"/>
      <c r="T67" s="6"/>
      <c r="U67" s="6"/>
      <c r="V67" s="6"/>
      <c r="W67" s="21"/>
      <c r="X67" s="21"/>
      <c r="Y67" s="21"/>
      <c r="Z67" s="21"/>
      <c r="AA67" s="21"/>
      <c r="AB67" s="21"/>
      <c r="AC67" s="21"/>
    </row>
    <row r="68" spans="17:29" ht="18.5" x14ac:dyDescent="0.45">
      <c r="Q68" s="20" t="s">
        <v>65</v>
      </c>
      <c r="R68" s="45" t="s">
        <v>91</v>
      </c>
      <c r="S68" s="45"/>
      <c r="T68" s="45"/>
      <c r="U68" s="45"/>
      <c r="V68" s="45"/>
      <c r="W68" s="21"/>
      <c r="X68" s="20" t="s">
        <v>66</v>
      </c>
      <c r="Y68" s="45" t="s">
        <v>92</v>
      </c>
      <c r="Z68" s="45"/>
      <c r="AA68" s="45"/>
      <c r="AB68" s="45"/>
      <c r="AC68" s="45"/>
    </row>
    <row r="69" spans="17:29" x14ac:dyDescent="0.35">
      <c r="Q69" s="21"/>
      <c r="R69" s="45"/>
      <c r="S69" s="45"/>
      <c r="T69" s="45"/>
      <c r="U69" s="45"/>
      <c r="V69" s="45"/>
      <c r="W69" s="21"/>
      <c r="X69" s="21"/>
      <c r="Y69" s="45"/>
      <c r="Z69" s="45"/>
      <c r="AA69" s="45"/>
      <c r="AB69" s="45"/>
      <c r="AC69" s="45"/>
    </row>
    <row r="70" spans="17:29" x14ac:dyDescent="0.35">
      <c r="Q70" s="21"/>
      <c r="R70" s="45"/>
      <c r="S70" s="45"/>
      <c r="T70" s="45"/>
      <c r="U70" s="45"/>
      <c r="V70" s="45"/>
      <c r="W70" s="21"/>
      <c r="X70" s="21"/>
      <c r="Y70" s="45"/>
      <c r="Z70" s="45"/>
      <c r="AA70" s="45"/>
      <c r="AB70" s="45"/>
      <c r="AC70" s="45"/>
    </row>
    <row r="71" spans="17:29" x14ac:dyDescent="0.35">
      <c r="Q71" s="21"/>
      <c r="R71" s="45"/>
      <c r="S71" s="45"/>
      <c r="T71" s="45"/>
      <c r="U71" s="45"/>
      <c r="V71" s="45"/>
      <c r="W71" s="21"/>
      <c r="X71" s="21"/>
      <c r="Y71" s="45"/>
      <c r="Z71" s="45"/>
      <c r="AA71" s="45"/>
      <c r="AB71" s="45"/>
      <c r="AC71" s="45"/>
    </row>
    <row r="72" spans="17:29" x14ac:dyDescent="0.35">
      <c r="Q72" s="21"/>
      <c r="R72" s="45"/>
      <c r="S72" s="45"/>
      <c r="T72" s="45"/>
      <c r="U72" s="45"/>
      <c r="V72" s="45"/>
      <c r="W72" s="21"/>
      <c r="X72" s="21"/>
      <c r="Y72" s="45"/>
      <c r="Z72" s="45"/>
      <c r="AA72" s="45"/>
      <c r="AB72" s="45"/>
      <c r="AC72" s="45"/>
    </row>
    <row r="73" spans="17:29" x14ac:dyDescent="0.35">
      <c r="Q73" s="21"/>
      <c r="R73" s="45"/>
      <c r="S73" s="45"/>
      <c r="T73" s="45"/>
      <c r="U73" s="45"/>
      <c r="V73" s="45"/>
      <c r="W73" s="21"/>
      <c r="X73" s="21"/>
      <c r="Y73" s="45"/>
      <c r="Z73" s="45"/>
      <c r="AA73" s="45"/>
      <c r="AB73" s="45"/>
      <c r="AC73" s="45"/>
    </row>
    <row r="74" spans="17:29" x14ac:dyDescent="0.35">
      <c r="Q74" s="21"/>
      <c r="R74" s="45"/>
      <c r="S74" s="45"/>
      <c r="T74" s="45"/>
      <c r="U74" s="45"/>
      <c r="V74" s="45"/>
      <c r="W74" s="21"/>
      <c r="X74" s="21"/>
      <c r="Y74" s="45"/>
      <c r="Z74" s="45"/>
      <c r="AA74" s="45"/>
      <c r="AB74" s="45"/>
      <c r="AC74" s="45"/>
    </row>
    <row r="75" spans="17:29" x14ac:dyDescent="0.35">
      <c r="Q75" s="21"/>
      <c r="R75" s="45"/>
      <c r="S75" s="45"/>
      <c r="T75" s="45"/>
      <c r="U75" s="45"/>
      <c r="V75" s="45"/>
      <c r="W75" s="21"/>
      <c r="X75" s="21"/>
      <c r="Y75" s="45"/>
      <c r="Z75" s="45"/>
      <c r="AA75" s="45"/>
      <c r="AB75" s="45"/>
      <c r="AC75" s="45"/>
    </row>
    <row r="76" spans="17:29" x14ac:dyDescent="0.35">
      <c r="Q76" s="21"/>
      <c r="R76" s="45"/>
      <c r="S76" s="45"/>
      <c r="T76" s="45"/>
      <c r="U76" s="45"/>
      <c r="V76" s="45"/>
      <c r="W76" s="21"/>
      <c r="X76" s="21"/>
      <c r="Y76" s="45"/>
      <c r="Z76" s="45"/>
      <c r="AA76" s="45"/>
      <c r="AB76" s="45"/>
      <c r="AC76" s="45"/>
    </row>
    <row r="77" spans="17:29" x14ac:dyDescent="0.35">
      <c r="Q77" s="21"/>
      <c r="R77" s="45"/>
      <c r="S77" s="45"/>
      <c r="T77" s="45"/>
      <c r="U77" s="45"/>
      <c r="V77" s="45"/>
      <c r="W77" s="21"/>
      <c r="X77" s="21"/>
      <c r="Y77" s="45"/>
      <c r="Z77" s="45"/>
      <c r="AA77" s="45"/>
      <c r="AB77" s="45"/>
      <c r="AC77" s="45"/>
    </row>
    <row r="78" spans="17:29" x14ac:dyDescent="0.35">
      <c r="Q78" s="21"/>
      <c r="R78" s="45"/>
      <c r="S78" s="45"/>
      <c r="T78" s="45"/>
      <c r="U78" s="45"/>
      <c r="V78" s="45"/>
      <c r="W78" s="21"/>
      <c r="X78" s="21"/>
      <c r="Y78" s="45"/>
      <c r="Z78" s="45"/>
      <c r="AA78" s="45"/>
      <c r="AB78" s="45"/>
      <c r="AC78" s="45"/>
    </row>
    <row r="79" spans="17:29" x14ac:dyDescent="0.35">
      <c r="Q79" s="21"/>
      <c r="R79" s="45"/>
      <c r="S79" s="45"/>
      <c r="T79" s="45"/>
      <c r="U79" s="45"/>
      <c r="V79" s="45"/>
      <c r="W79" s="21"/>
      <c r="X79" s="21"/>
      <c r="Y79" s="45"/>
      <c r="Z79" s="45"/>
      <c r="AA79" s="45"/>
      <c r="AB79" s="45"/>
      <c r="AC79" s="45"/>
    </row>
    <row r="80" spans="17:29" x14ac:dyDescent="0.35"/>
    <row r="81" spans="2:29" ht="18.5" x14ac:dyDescent="0.45">
      <c r="Q81" s="20" t="s">
        <v>72</v>
      </c>
      <c r="R81" s="45" t="s">
        <v>93</v>
      </c>
      <c r="S81" s="45"/>
      <c r="T81" s="45"/>
      <c r="U81" s="45"/>
      <c r="V81" s="45"/>
      <c r="X81" s="20" t="s">
        <v>71</v>
      </c>
      <c r="Y81" s="45" t="s">
        <v>101</v>
      </c>
      <c r="Z81" s="45"/>
      <c r="AA81" s="45"/>
      <c r="AB81" s="45"/>
      <c r="AC81" s="45"/>
    </row>
    <row r="82" spans="2:29" x14ac:dyDescent="0.35">
      <c r="R82" s="45"/>
      <c r="S82" s="45"/>
      <c r="T82" s="45"/>
      <c r="U82" s="45"/>
      <c r="V82" s="45"/>
      <c r="Y82" s="45"/>
      <c r="Z82" s="45"/>
      <c r="AA82" s="45"/>
      <c r="AB82" s="45"/>
      <c r="AC82" s="45"/>
    </row>
    <row r="83" spans="2:29" x14ac:dyDescent="0.35">
      <c r="R83" s="45"/>
      <c r="S83" s="45"/>
      <c r="T83" s="45"/>
      <c r="U83" s="45"/>
      <c r="V83" s="45"/>
      <c r="Y83" s="45"/>
      <c r="Z83" s="45"/>
      <c r="AA83" s="45"/>
      <c r="AB83" s="45"/>
      <c r="AC83" s="45"/>
    </row>
    <row r="84" spans="2:29" x14ac:dyDescent="0.35">
      <c r="R84" s="45"/>
      <c r="S84" s="45"/>
      <c r="T84" s="45"/>
      <c r="U84" s="45"/>
      <c r="V84" s="45"/>
      <c r="Y84" s="45"/>
      <c r="Z84" s="45"/>
      <c r="AA84" s="45"/>
      <c r="AB84" s="45"/>
      <c r="AC84" s="45"/>
    </row>
    <row r="85" spans="2:29" x14ac:dyDescent="0.35">
      <c r="R85" s="45"/>
      <c r="S85" s="45"/>
      <c r="T85" s="45"/>
      <c r="U85" s="45"/>
      <c r="V85" s="45"/>
      <c r="Y85" s="45"/>
      <c r="Z85" s="45"/>
      <c r="AA85" s="45"/>
      <c r="AB85" s="45"/>
      <c r="AC85" s="45"/>
    </row>
    <row r="86" spans="2:29" x14ac:dyDescent="0.35">
      <c r="R86" s="45"/>
      <c r="S86" s="45"/>
      <c r="T86" s="45"/>
      <c r="U86" s="45"/>
      <c r="V86" s="45"/>
      <c r="Y86" s="45"/>
      <c r="Z86" s="45"/>
      <c r="AA86" s="45"/>
      <c r="AB86" s="45"/>
      <c r="AC86" s="45"/>
    </row>
    <row r="87" spans="2:29" x14ac:dyDescent="0.35">
      <c r="R87" s="45"/>
      <c r="S87" s="45"/>
      <c r="T87" s="45"/>
      <c r="U87" s="45"/>
      <c r="V87" s="45"/>
      <c r="Y87" s="45"/>
      <c r="Z87" s="45"/>
      <c r="AA87" s="45"/>
      <c r="AB87" s="45"/>
      <c r="AC87" s="45"/>
    </row>
    <row r="88" spans="2:29" x14ac:dyDescent="0.35">
      <c r="R88" s="45"/>
      <c r="S88" s="45"/>
      <c r="T88" s="45"/>
      <c r="U88" s="45"/>
      <c r="V88" s="45"/>
      <c r="Y88" s="45"/>
      <c r="Z88" s="45"/>
      <c r="AA88" s="45"/>
      <c r="AB88" s="45"/>
      <c r="AC88" s="45"/>
    </row>
    <row r="89" spans="2:29" x14ac:dyDescent="0.35">
      <c r="R89" s="45"/>
      <c r="S89" s="45"/>
      <c r="T89" s="45"/>
      <c r="U89" s="45"/>
      <c r="V89" s="45"/>
      <c r="Y89" s="45"/>
      <c r="Z89" s="45"/>
      <c r="AA89" s="45"/>
      <c r="AB89" s="45"/>
      <c r="AC89" s="45"/>
    </row>
    <row r="90" spans="2:29" x14ac:dyDescent="0.35">
      <c r="R90" s="45"/>
      <c r="S90" s="45"/>
      <c r="T90" s="45"/>
      <c r="U90" s="45"/>
      <c r="V90" s="45"/>
      <c r="Y90" s="45"/>
      <c r="Z90" s="45"/>
      <c r="AA90" s="45"/>
      <c r="AB90" s="45"/>
      <c r="AC90" s="45"/>
    </row>
    <row r="91" spans="2:29" x14ac:dyDescent="0.35">
      <c r="R91" s="45"/>
      <c r="S91" s="45"/>
      <c r="T91" s="45"/>
      <c r="U91" s="45"/>
      <c r="V91" s="45"/>
      <c r="Y91" s="45"/>
      <c r="Z91" s="45"/>
      <c r="AA91" s="45"/>
      <c r="AB91" s="45"/>
      <c r="AC91" s="45"/>
    </row>
    <row r="92" spans="2:29" x14ac:dyDescent="0.35">
      <c r="R92" s="45"/>
      <c r="S92" s="45"/>
      <c r="T92" s="45"/>
      <c r="U92" s="45"/>
      <c r="V92" s="45"/>
      <c r="Y92" s="45"/>
      <c r="Z92" s="45"/>
      <c r="AA92" s="45"/>
      <c r="AB92" s="45"/>
      <c r="AC92" s="45"/>
    </row>
    <row r="93" spans="2:29" x14ac:dyDescent="0.35"/>
    <row r="94" spans="2:29" x14ac:dyDescent="0.35"/>
    <row r="95" spans="2:29" ht="18.5" x14ac:dyDescent="0.45">
      <c r="B95" s="43" t="s">
        <v>74</v>
      </c>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row>
    <row r="96" spans="2:29" x14ac:dyDescent="0.35"/>
    <row r="97" spans="2:29" s="29" customFormat="1" ht="43.5" customHeight="1" x14ac:dyDescent="0.35">
      <c r="B97" s="32" t="s">
        <v>19</v>
      </c>
      <c r="C97" s="32" t="s">
        <v>43</v>
      </c>
      <c r="D97" s="32" t="s">
        <v>75</v>
      </c>
      <c r="E97" s="32" t="s">
        <v>76</v>
      </c>
      <c r="F97" s="32" t="s">
        <v>7</v>
      </c>
      <c r="G97" s="32" t="s">
        <v>83</v>
      </c>
      <c r="H97" s="32" t="s">
        <v>77</v>
      </c>
      <c r="I97" s="32" t="s">
        <v>78</v>
      </c>
      <c r="J97" s="32" t="s">
        <v>79</v>
      </c>
      <c r="K97" s="32" t="s">
        <v>85</v>
      </c>
      <c r="L97" s="32" t="s">
        <v>80</v>
      </c>
      <c r="M97" s="32" t="s">
        <v>15</v>
      </c>
      <c r="N97" s="32" t="s">
        <v>81</v>
      </c>
      <c r="O97" s="32" t="s">
        <v>84</v>
      </c>
      <c r="P97" s="50" t="s">
        <v>82</v>
      </c>
      <c r="Q97" s="50"/>
      <c r="S97" s="47" t="s">
        <v>86</v>
      </c>
      <c r="T97" s="47"/>
      <c r="U97" s="47"/>
      <c r="V97" s="47"/>
      <c r="W97" s="47"/>
      <c r="X97" s="47"/>
      <c r="Y97" s="47"/>
      <c r="Z97" s="47"/>
      <c r="AA97" s="47"/>
      <c r="AB97" s="47"/>
      <c r="AC97" s="47"/>
    </row>
    <row r="98" spans="2:29" ht="14.5" customHeight="1" x14ac:dyDescent="0.35">
      <c r="B98" s="31">
        <v>202109</v>
      </c>
      <c r="C98" s="30">
        <f>AVERAGE(D98:Q98)</f>
        <v>0.917176923076923</v>
      </c>
      <c r="D98" s="33">
        <f>(100-14.77)/100</f>
        <v>0.85230000000000006</v>
      </c>
      <c r="E98" s="33">
        <f t="shared" ref="E98:J99" si="0">(100-0)/100</f>
        <v>1</v>
      </c>
      <c r="F98" s="33">
        <f t="shared" si="0"/>
        <v>1</v>
      </c>
      <c r="G98" s="33">
        <f t="shared" si="0"/>
        <v>1</v>
      </c>
      <c r="H98" s="33">
        <f t="shared" si="0"/>
        <v>1</v>
      </c>
      <c r="I98" s="33">
        <f t="shared" si="0"/>
        <v>1</v>
      </c>
      <c r="J98" s="33">
        <f t="shared" si="0"/>
        <v>1</v>
      </c>
      <c r="K98" s="33">
        <f>(100-22.05)/100</f>
        <v>0.77950000000000008</v>
      </c>
      <c r="L98" s="33">
        <f>(100-0)/100</f>
        <v>1</v>
      </c>
      <c r="M98" s="33">
        <f>(100-68.79)/100</f>
        <v>0.31209999999999993</v>
      </c>
      <c r="N98" s="33">
        <f>(100-2.06)/100</f>
        <v>0.97939999999999994</v>
      </c>
      <c r="O98" s="33">
        <f>(100-0)/100</f>
        <v>1</v>
      </c>
      <c r="P98" s="48">
        <v>1</v>
      </c>
      <c r="Q98" s="49"/>
      <c r="S98" s="34" t="s">
        <v>98</v>
      </c>
      <c r="T98" s="36">
        <v>0.91700000000000004</v>
      </c>
      <c r="V98" s="6"/>
      <c r="W98" s="6"/>
      <c r="X98" s="6"/>
      <c r="Y98" s="6"/>
      <c r="Z98" s="6"/>
      <c r="AA98" s="6"/>
      <c r="AB98" s="6"/>
      <c r="AC98" s="6"/>
    </row>
    <row r="99" spans="2:29" ht="14.5" customHeight="1" x14ac:dyDescent="0.35">
      <c r="B99" s="31">
        <v>202110</v>
      </c>
      <c r="C99" s="30">
        <f>AVERAGE(D99:Q99)</f>
        <v>0.91544615384615369</v>
      </c>
      <c r="D99" s="33">
        <f>(100-15.18)/100</f>
        <v>0.84819999999999995</v>
      </c>
      <c r="E99" s="33">
        <f t="shared" si="0"/>
        <v>1</v>
      </c>
      <c r="F99" s="33">
        <f t="shared" si="0"/>
        <v>1</v>
      </c>
      <c r="G99" s="33">
        <f t="shared" si="0"/>
        <v>1</v>
      </c>
      <c r="H99" s="33">
        <f t="shared" si="0"/>
        <v>1</v>
      </c>
      <c r="I99" s="33">
        <f t="shared" si="0"/>
        <v>1</v>
      </c>
      <c r="J99" s="33">
        <f t="shared" si="0"/>
        <v>1</v>
      </c>
      <c r="K99" s="33">
        <f>(100-23.2)/100</f>
        <v>0.76800000000000002</v>
      </c>
      <c r="L99" s="33">
        <f>(100-0)/100</f>
        <v>1</v>
      </c>
      <c r="M99" s="33">
        <f>(100-68.88)/100</f>
        <v>0.31120000000000003</v>
      </c>
      <c r="N99" s="33">
        <f>(100-2.66)/100</f>
        <v>0.97340000000000004</v>
      </c>
      <c r="O99" s="33">
        <f>(100-0)/100</f>
        <v>1</v>
      </c>
      <c r="P99" s="48">
        <v>1</v>
      </c>
      <c r="Q99" s="49"/>
      <c r="S99" s="34" t="s">
        <v>99</v>
      </c>
      <c r="T99" s="36">
        <v>0.91500000000000004</v>
      </c>
      <c r="V99" s="6"/>
      <c r="W99" s="6"/>
      <c r="X99" s="6"/>
      <c r="Y99" s="6"/>
      <c r="Z99" s="6"/>
      <c r="AA99" s="6"/>
      <c r="AB99" s="6"/>
      <c r="AC99" s="6"/>
    </row>
    <row r="100" spans="2:29" x14ac:dyDescent="0.35"/>
    <row r="101" spans="2:29" x14ac:dyDescent="0.35"/>
    <row r="105" spans="2:29" x14ac:dyDescent="0.35"/>
    <row r="106" spans="2:29" x14ac:dyDescent="0.35"/>
    <row r="107" spans="2:29" x14ac:dyDescent="0.35"/>
  </sheetData>
  <mergeCells count="26">
    <mergeCell ref="P99:Q99"/>
    <mergeCell ref="P98:Q98"/>
    <mergeCell ref="B24:O24"/>
    <mergeCell ref="R57:V66"/>
    <mergeCell ref="Y57:AC66"/>
    <mergeCell ref="P97:Q97"/>
    <mergeCell ref="S97:AC97"/>
    <mergeCell ref="B95:AC95"/>
    <mergeCell ref="R81:V92"/>
    <mergeCell ref="Y81:AC92"/>
    <mergeCell ref="Y68:AC79"/>
    <mergeCell ref="B2:O2"/>
    <mergeCell ref="B53:O53"/>
    <mergeCell ref="R28:V37"/>
    <mergeCell ref="R39:V50"/>
    <mergeCell ref="R68:V79"/>
    <mergeCell ref="Q55:AC55"/>
    <mergeCell ref="Q2:AC2"/>
    <mergeCell ref="R8:AC10"/>
    <mergeCell ref="R12:AC13"/>
    <mergeCell ref="R15:AC18"/>
    <mergeCell ref="Y28:AC37"/>
    <mergeCell ref="Y39:AC50"/>
    <mergeCell ref="Q26:AC26"/>
    <mergeCell ref="R20:AC21"/>
    <mergeCell ref="R4:AC6"/>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6361F09B21A804F824D0804817B9451" ma:contentTypeVersion="13" ma:contentTypeDescription="Create a new document." ma:contentTypeScope="" ma:versionID="25a5884fc7d9c97f01225f592dd093a8">
  <xsd:schema xmlns:xsd="http://www.w3.org/2001/XMLSchema" xmlns:xs="http://www.w3.org/2001/XMLSchema" xmlns:p="http://schemas.microsoft.com/office/2006/metadata/properties" xmlns:ns2="47dd78af-cfc5-4e7a-8799-591ad7ced2cf" xmlns:ns3="91879da0-9969-4788-bbb1-7f1899c198fe" targetNamespace="http://schemas.microsoft.com/office/2006/metadata/properties" ma:root="true" ma:fieldsID="cf1bd64b2287d6d71abedc4a55e9ddae" ns2:_="" ns3:_="">
    <xsd:import namespace="47dd78af-cfc5-4e7a-8799-591ad7ced2cf"/>
    <xsd:import namespace="91879da0-9969-4788-bbb1-7f1899c198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d78af-cfc5-4e7a-8799-591ad7ced2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1879da0-9969-4788-bbb1-7f1899c198f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6D16C5-895C-4991-A5EC-4B226E025644}">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91879da0-9969-4788-bbb1-7f1899c198fe"/>
    <ds:schemaRef ds:uri="http://purl.org/dc/terms/"/>
    <ds:schemaRef ds:uri="http://schemas.microsoft.com/office/infopath/2007/PartnerControls"/>
    <ds:schemaRef ds:uri="47dd78af-cfc5-4e7a-8799-591ad7ced2cf"/>
    <ds:schemaRef ds:uri="http://www.w3.org/XML/1998/namespace"/>
    <ds:schemaRef ds:uri="http://purl.org/dc/dcmitype/"/>
  </ds:schemaRefs>
</ds:datastoreItem>
</file>

<file path=customXml/itemProps2.xml><?xml version="1.0" encoding="utf-8"?>
<ds:datastoreItem xmlns:ds="http://schemas.openxmlformats.org/officeDocument/2006/customXml" ds:itemID="{F5205374-DB18-4AC7-BE02-9EAC775BC4F7}">
  <ds:schemaRefs>
    <ds:schemaRef ds:uri="http://schemas.microsoft.com/sharepoint/v3/contenttype/forms"/>
  </ds:schemaRefs>
</ds:datastoreItem>
</file>

<file path=customXml/itemProps3.xml><?xml version="1.0" encoding="utf-8"?>
<ds:datastoreItem xmlns:ds="http://schemas.openxmlformats.org/officeDocument/2006/customXml" ds:itemID="{38BD89B5-B064-4DC0-ABDE-35E1CABF0C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d78af-cfc5-4e7a-8799-591ad7ced2cf"/>
    <ds:schemaRef ds:uri="91879da0-9969-4788-bbb1-7f1899c198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4</vt:i4>
      </vt:variant>
    </vt:vector>
  </HeadingPairs>
  <TitlesOfParts>
    <vt:vector size="4" baseType="lpstr">
      <vt:lpstr>DQMI Data</vt:lpstr>
      <vt:lpstr>Sheet2</vt:lpstr>
      <vt:lpstr>SPC</vt:lpstr>
      <vt:lpstr>Graphs</vt:lpstr>
    </vt:vector>
  </TitlesOfParts>
  <Company>CLCH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Sharp</dc:creator>
  <cp:lastModifiedBy>Shannon Robinson</cp:lastModifiedBy>
  <dcterms:created xsi:type="dcterms:W3CDTF">2020-11-03T13:32:59Z</dcterms:created>
  <dcterms:modified xsi:type="dcterms:W3CDTF">2022-02-04T12:04:28Z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0x01010036361F09B21A804F824D0804817B9451</vt:lpwstr>
  </property>
</Properties>
</file>